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13725" windowHeight="913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<sst xmlns="http://schemas.openxmlformats.org/spreadsheetml/2006/main" count="3842" uniqueCount="3009">
  <si>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</si>
  <si>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</si>
  <si>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</si>
  <si>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</si>
  <si>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</si>
  <si>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</si>
  <si>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</si>
  <si>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</si>
  <si>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</si>
  <si>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</si>
  <si>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</si>
  <si>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</si>
  <si>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</si>
  <si>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</si>
  <si>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</si>
  <si>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</si>
  <si>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</si>
  <si>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</si>
  <si>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</si>
  <si>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</si>
  <si>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</si>
  <si>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</si>
  <si>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</si>
  <si>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</si>
  <si>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</si>
  <si>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</si>
  <si>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</si>
  <si>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</si>
  <si>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</si>
  <si>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</si>
  <si>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</si>
  <si>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</si>
  <si>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</si>
  <si>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</si>
  <si>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</si>
  <si>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</si>
  <si>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</si>
  <si>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</si>
  <si>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</si>
  <si>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</si>
  <si>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</si>
  <si>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</si>
  <si>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</si>
  <si>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</si>
  <si>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</si>
  <si>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</si>
  <si>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</si>
  <si>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</si>
  <si>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</si>
  <si>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</si>
  <si>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</si>
  <si>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</si>
  <si>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</si>
  <si>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</si>
  <si>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</si>
  <si>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</si>
  <si>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</si>
  <si>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</si>
  <si>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</si>
  <si>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</si>
  <si>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</si>
  <si>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</si>
  <si>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</si>
  <si>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</si>
  <si>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</si>
  <si>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</si>
  <si>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</si>
  <si>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</si>
  <si>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</si>
  <si>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</si>
  <si>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</si>
  <si>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</si>
  <si>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</si>
  <si>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</si>
  <si>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</si>
  <si>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</si>
  <si>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</si>
  <si>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</si>
  <si>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</si>
  <si>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</si>
  <si>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</si>
  <si>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</si>
  <si>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</si>
  <si>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</si>
  <si>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</si>
  <si>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</si>
  <si>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</si>
  <si>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</si>
  <si>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</si>
  <si>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</si>
  <si>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</si>
  <si>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</si>
  <si>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</si>
  <si>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</si>
  <si>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</si>
  <si>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</si>
  <si>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</si>
  <si>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</si>
  <si>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</si>
  <si>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</si>
  <si>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</si>
  <si>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</si>
  <si>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</si>
  <si>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</si>
  <si>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</si>
  <si>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</si>
  <si>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</si>
  <si>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</si>
  <si>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</si>
  <si>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</si>
  <si>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</si>
  <si>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</si>
  <si>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</si>
  <si>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</si>
  <si>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</si>
  <si>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</si>
  <si>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</si>
  <si>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</si>
  <si>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</si>
  <si>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</si>
  <si>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</si>
  <si>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</si>
  <si>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</si>
  <si>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</si>
  <si>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</si>
  <si>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</si>
  <si>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</si>
  <si>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</si>
  <si>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</si>
  <si>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</si>
  <si>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</si>
  <si>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</si>
  <si>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</si>
  <si>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</si>
  <si>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</si>
  <si>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</si>
  <si>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</si>
  <si>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</si>
  <si>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</si>
  <si>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</si>
  <si>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</si>
  <si>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</si>
  <si>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</si>
  <si>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</si>
  <si>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</si>
  <si>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</si>
  <si>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</si>
  <si>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</si>
  <si>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</si>
  <si>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</si>
  <si>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</si>
  <si>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</si>
  <si>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</si>
  <si>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</si>
  <si>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</si>
  <si>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</si>
  <si>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</si>
  <si>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</si>
  <si>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</si>
  <si>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</si>
  <si>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</si>
  <si>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</si>
  <si>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</si>
  <si>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</si>
  <si>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</si>
  <si>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</si>
  <si>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</si>
  <si>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</si>
  <si>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</si>
  <si>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</si>
  <si>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</si>
  <si>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</si>
  <si>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</si>
  <si>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</si>
  <si>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</si>
  <si>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</si>
  <si>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</si>
  <si>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</si>
  <si>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</si>
  <si>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</si>
  <si>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</si>
  <si>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</si>
  <si>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</si>
  <si>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</si>
  <si>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</si>
  <si>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</si>
  <si>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</si>
  <si>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</si>
  <si>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</si>
  <si>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</si>
  <si>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</si>
  <si>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</si>
  <si>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</si>
  <si>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</si>
  <si>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</si>
  <si>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</si>
  <si>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</si>
  <si>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</si>
  <si>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</si>
  <si>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</si>
  <si>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</si>
  <si>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</si>
  <si>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</si>
  <si>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</si>
  <si>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</si>
  <si>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</si>
  <si>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</si>
  <si>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</si>
  <si>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</si>
  <si>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</si>
  <si>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</si>
  <si>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</si>
  <si>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</si>
  <si>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</si>
  <si>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</si>
  <si>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</si>
  <si>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</si>
  <si>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</si>
  <si>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</si>
  <si>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</si>
  <si>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</si>
  <si>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</si>
  <si>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</si>
  <si>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</si>
  <si>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</si>
  <si>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</si>
  <si>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</si>
  <si>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</si>
  <si>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</si>
  <si>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</si>
  <si>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</si>
  <si>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</si>
  <si>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</si>
  <si>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</si>
  <si>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</si>
  <si>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</si>
  <si>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</si>
  <si>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</si>
  <si>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</si>
  <si>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</si>
  <si>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</si>
  <si>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</si>
  <si>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</si>
  <si>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</si>
  <si>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</si>
  <si>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</si>
  <si>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</si>
  <si>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</si>
  <si>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</si>
  <si>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</si>
  <si>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</si>
  <si>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</si>
  <si>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</si>
  <si>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</si>
  <si>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</si>
  <si>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</si>
  <si>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</si>
  <si>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</si>
  <si>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</si>
  <si>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</si>
  <si>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</si>
  <si>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</si>
  <si>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</si>
  <si>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</si>
  <si>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</si>
  <si>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</si>
  <si>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</si>
  <si>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</si>
  <si>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</si>
  <si>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</si>
  <si>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</si>
  <si>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</si>
  <si>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</si>
  <si>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</si>
  <si>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</si>
  <si>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</si>
  <si>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</si>
  <si>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</si>
  <si>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</si>
  <si>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</si>
  <si>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</si>
  <si>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</si>
  <si>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</si>
  <si>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</si>
  <si>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</si>
  <si>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</si>
  <si>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</si>
  <si>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</si>
  <si>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</si>
  <si>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</si>
  <si>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</si>
  <si>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</si>
  <si>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</si>
  <si>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</si>
  <si>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</si>
  <si>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</si>
  <si>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</si>
  <si>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</si>
  <si>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</si>
  <si>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</si>
  <si>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</si>
  <si>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</si>
  <si>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</si>
  <si>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</si>
  <si>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</si>
  <si>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</si>
  <si>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</si>
  <si>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</si>
  <si>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</si>
  <si>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</si>
  <si>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</si>
  <si>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</si>
  <si>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</si>
  <si>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</si>
  <si>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</si>
  <si>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</si>
  <si>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</si>
  <si>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</si>
  <si>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</si>
  <si>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</si>
  <si>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</si>
  <si>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</si>
  <si>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</si>
  <si>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</si>
  <si>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</si>
  <si>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</si>
  <si>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</si>
  <si>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</si>
  <si>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</si>
  <si>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</si>
  <si>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</si>
  <si>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</si>
  <si>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</si>
  <si>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</si>
  <si>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</si>
  <si>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</si>
  <si>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</si>
  <si>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</si>
  <si>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</si>
  <si>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</si>
  <si>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</si>
  <si>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</si>
  <si>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</si>
  <si>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</si>
  <si>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</si>
  <si>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</si>
  <si>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</si>
  <si>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</si>
  <si>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</si>
  <si>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</si>
  <si>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</si>
  <si>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</si>
  <si>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</si>
  <si>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</si>
  <si>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</si>
  <si>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</si>
  <si>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</si>
  <si>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</si>
  <si>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</si>
  <si>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</si>
  <si>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</si>
  <si>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</si>
  <si>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</si>
  <si>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</si>
  <si>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</si>
  <si>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</si>
  <si>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</si>
  <si>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</si>
  <si>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</si>
  <si>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</si>
  <si>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</si>
  <si>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</si>
  <si>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</si>
  <si>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</si>
  <si>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</si>
  <si>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</si>
  <si>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</si>
  <si>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</si>
  <si>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</si>
  <si>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</si>
  <si>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</si>
  <si>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</si>
  <si>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</si>
  <si>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</si>
  <si>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</si>
  <si>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</si>
  <si>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</si>
  <si>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</si>
  <si>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</si>
  <si>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</si>
  <si>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</si>
  <si>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</si>
  <si>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</si>
  <si>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</si>
  <si>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</si>
  <si>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</si>
  <si>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</si>
  <si>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</si>
  <si>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</si>
  <si>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</si>
  <si>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</si>
  <si>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</si>
  <si>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</si>
  <si>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</si>
  <si>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</si>
  <si>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</si>
  <si>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</si>
  <si>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</si>
  <si>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</si>
  <si>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</si>
  <si>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</si>
  <si>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</si>
  <si>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</si>
  <si>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</si>
  <si>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</si>
  <si>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</si>
  <si>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</si>
  <si>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</si>
  <si>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</si>
  <si>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</si>
  <si>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</si>
  <si>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</si>
  <si>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</si>
  <si>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</si>
  <si>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</si>
  <si>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</si>
  <si>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</si>
  <si>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</si>
  <si>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</si>
  <si>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</si>
  <si>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</si>
  <si>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</si>
  <si>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</si>
  <si>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</si>
  <si>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</si>
  <si>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</si>
  <si>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</si>
  <si>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</si>
  <si>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</si>
  <si>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</si>
  <si>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</si>
  <si>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</si>
  <si>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</si>
  <si>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</si>
  <si>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</si>
  <si>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</si>
  <si>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</si>
  <si>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</si>
  <si>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</si>
  <si>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</si>
  <si>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</si>
  <si>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</si>
  <si>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</si>
  <si>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</si>
  <si>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</si>
  <si>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</si>
  <si>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</si>
  <si>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</si>
  <si>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</si>
  <si>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</si>
  <si>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</si>
  <si>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</si>
  <si>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</si>
  <si>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</si>
  <si>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</si>
  <si>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</si>
  <si>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</si>
  <si>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</si>
  <si>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</si>
  <si>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</si>
  <si>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</si>
  <si>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</si>
  <si>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</si>
  <si>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</si>
  <si>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</si>
  <si>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</si>
  <si>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</si>
  <si>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</si>
  <si>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</si>
  <si>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</si>
  <si>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</si>
  <si>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</si>
  <si>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</si>
  <si>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</si>
  <si>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</si>
  <si>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</si>
  <si>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</si>
  <si>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</si>
  <si>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</si>
  <si>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</si>
  <si>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</si>
  <si>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</si>
  <si>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</si>
  <si>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</si>
  <si>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</si>
  <si>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</si>
  <si>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</si>
  <si>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</si>
  <si>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</si>
  <si>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</si>
  <si>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</si>
  <si>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</si>
  <si>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</si>
  <si>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</si>
  <si>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</si>
  <si>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</si>
  <si>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</si>
  <si>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</si>
  <si>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</si>
  <si>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</si>
  <si>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</si>
  <si>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</si>
  <si>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</si>
  <si>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</si>
  <si>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</si>
  <si>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</si>
  <si>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</si>
  <si>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</si>
  <si>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</si>
  <si>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</si>
  <si>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</si>
  <si>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</si>
  <si>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</si>
  <si>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</si>
  <si>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</si>
  <si>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</si>
  <si>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</si>
  <si>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</si>
  <si>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</si>
  <si>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</si>
  <si>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</si>
  <si>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</si>
  <si>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</si>
  <si>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</si>
  <si>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</si>
  <si>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</si>
  <si>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</si>
  <si>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</si>
  <si>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</si>
  <si>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</si>
  <si>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</si>
  <si>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</si>
  <si>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</si>
  <si>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</si>
  <si>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</si>
  <si>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</si>
  <si>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</si>
  <si>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</si>
  <si>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</si>
  <si>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</si>
  <si>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</si>
  <si>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</si>
  <si>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</si>
  <si>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</si>
  <si>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</si>
  <si>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</si>
  <si>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</si>
  <si>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</si>
  <si>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</si>
  <si>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</si>
  <si>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</si>
  <si>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</si>
  <si>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</si>
  <si>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</si>
  <si>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</si>
  <si>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</si>
  <si>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</si>
  <si>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</si>
  <si>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</si>
  <si>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</si>
  <si>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</si>
  <si>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</si>
  <si>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</si>
  <si>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</si>
  <si>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</si>
  <si>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</si>
  <si>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</si>
  <si>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</si>
  <si>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</si>
  <si>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</si>
  <si>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</si>
  <si>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</si>
  <si>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</si>
  <si>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</si>
  <si>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</si>
  <si>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</si>
  <si>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</si>
  <si>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</si>
  <si>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</si>
  <si>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</si>
  <si>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</si>
  <si>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</si>
  <si>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</si>
  <si>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</si>
  <si>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</si>
  <si>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</si>
  <si>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</si>
  <si>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</si>
  <si>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</si>
  <si>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</si>
  <si>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</si>
  <si>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</si>
  <si>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</si>
  <si>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</si>
  <si>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</si>
  <si>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</si>
  <si>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</si>
  <si>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</si>
  <si>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</si>
  <si>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</si>
  <si>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</si>
  <si>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</si>
  <si>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</si>
  <si>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</si>
  <si>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</si>
  <si>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</si>
  <si>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</si>
  <si>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</si>
  <si>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</si>
  <si>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</si>
  <si>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</si>
  <si>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</si>
  <si>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</si>
  <si>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</si>
  <si>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</si>
  <si>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</si>
  <si>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</si>
  <si>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</si>
  <si>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</si>
  <si>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</si>
  <si>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</si>
  <si>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</si>
  <si>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</si>
  <si>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</si>
  <si>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</si>
  <si>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</si>
  <si>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</si>
  <si>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</si>
  <si>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</si>
  <si>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</si>
  <si>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</si>
  <si>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</si>
  <si>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</si>
  <si>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</si>
  <si>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</si>
  <si>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</si>
  <si>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</si>
  <si>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</si>
  <si>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</si>
  <si>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</si>
  <si>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</si>
  <si>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</si>
  <si>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</si>
  <si>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</si>
  <si>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</si>
  <si>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</si>
  <si>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</si>
  <si>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</si>
  <si>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</si>
  <si>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</si>
  <si>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</si>
  <si>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</si>
  <si>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</si>
  <si>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</si>
  <si>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</si>
  <si>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</si>
  <si>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</si>
  <si>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</si>
  <si>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</si>
  <si>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</si>
  <si>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</si>
  <si>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</si>
  <si>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</si>
  <si>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</si>
  <si>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</si>
  <si>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</si>
  <si>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</si>
  <si>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</si>
  <si>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</si>
  <si>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</si>
  <si>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</si>
  <si>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</si>
  <si>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</si>
  <si>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</si>
  <si>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</si>
  <si>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</si>
  <si>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</si>
  <si>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</si>
  <si>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</si>
  <si>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</si>
  <si>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</si>
  <si>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</si>
  <si>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</si>
  <si>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</si>
  <si>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</si>
  <si>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</si>
  <si>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</si>
  <si>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</si>
  <si>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</si>
  <si>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</si>
  <si>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</si>
  <si>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</si>
  <si>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</si>
  <si>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</si>
  <si>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</si>
  <si>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</si>
  <si>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</si>
  <si>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</si>
  <si>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</si>
  <si>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</si>
  <si>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</si>
  <si>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</si>
  <si>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</si>
  <si>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</si>
  <si>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</si>
  <si>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</si>
  <si>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</si>
  <si>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</si>
  <si>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</si>
  <si>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</si>
  <si>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</si>
  <si>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</si>
  <si>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</si>
  <si>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</si>
  <si>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</si>
  <si>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</si>
  <si>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</si>
  <si>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</si>
  <si>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</si>
  <si>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</si>
  <si>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</si>
  <si>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</si>
  <si>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</si>
  <si>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</si>
  <si>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</si>
  <si>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</si>
  <si>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</si>
  <si>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</si>
  <si>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</si>
  <si>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</si>
  <si>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</si>
  <si>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</si>
  <si>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</si>
  <si>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</si>
  <si>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</si>
  <si>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</si>
  <si>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</si>
  <si>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</si>
  <si>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</si>
  <si>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</si>
  <si>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</si>
  <si>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</si>
  <si>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</si>
  <si>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</si>
  <si>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</si>
  <si>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</si>
  <si>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</si>
  <si>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</si>
  <si>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</si>
  <si>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</si>
  <si>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</si>
  <si>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</si>
  <si>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</si>
  <si>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</si>
  <si>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</si>
  <si>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</si>
  <si>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</si>
  <si>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</si>
  <si>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</si>
  <si>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</si>
  <si>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</si>
  <si>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</si>
  <si>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</si>
  <si>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</si>
  <si>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</si>
  <si>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</si>
  <si>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</si>
  <si>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</si>
  <si>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</si>
  <si>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</si>
  <si>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</si>
  <si>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</si>
  <si>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</si>
  <si>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</si>
  <si>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</si>
  <si>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</si>
  <si>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</si>
  <si>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</si>
  <si>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</si>
  <si>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</si>
  <si>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</si>
  <si>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</si>
  <si>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</si>
  <si>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</si>
  <si>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</si>
  <si>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</si>
  <si>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</si>
  <si>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</si>
  <si>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</si>
  <si>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</si>
  <si>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</si>
  <si>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</si>
  <si>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</si>
  <si>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</si>
  <si>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</si>
  <si>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</si>
  <si>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</si>
  <si>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</si>
  <si>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</si>
  <si>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</si>
  <si>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</si>
  <si>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</si>
  <si>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</si>
  <si>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</si>
  <si>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</si>
  <si>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</si>
  <si>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</si>
  <si>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</si>
  <si>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</si>
  <si>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</si>
  <si>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</si>
  <si>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</si>
  <si>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</si>
  <si>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</si>
  <si>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</si>
  <si>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</si>
  <si>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</si>
  <si>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</si>
  <si>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</si>
  <si>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</si>
  <si>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</si>
  <si>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</si>
  <si>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</si>
  <si>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</si>
  <si>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</si>
  <si>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</si>
  <si>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</si>
  <si>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</si>
  <si>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</si>
  <si>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</si>
  <si>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</si>
  <si>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</si>
  <si>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</si>
  <si>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</si>
  <si>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</si>
  <si>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</si>
  <si>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</si>
  <si>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</si>
  <si>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</si>
  <si>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</si>
  <si>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</si>
  <si>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</si>
  <si>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</si>
  <si>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</si>
  <si>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</si>
  <si>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</si>
  <si>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</si>
  <si>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</si>
  <si>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</si>
  <si>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</si>
  <si>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</si>
  <si>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</si>
  <si>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</si>
  <si>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</si>
  <si>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</si>
  <si>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</si>
  <si>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</si>
  <si>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</si>
  <si>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</si>
  <si>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</si>
  <si>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</si>
  <si>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</si>
  <si>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</si>
  <si>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</si>
  <si>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</si>
  <si>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</si>
  <si>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</si>
  <si>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</si>
  <si>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</si>
  <si>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</si>
  <si>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</si>
  <si>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</si>
  <si>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</si>
  <si>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</si>
  <si>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</si>
  <si>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</si>
  <si>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</si>
  <si>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</si>
  <si>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</si>
  <si>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</si>
  <si>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</si>
  <si>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</si>
  <si>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</si>
  <si>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</si>
  <si>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</si>
  <si>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</si>
  <si>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</si>
  <si>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</si>
  <si>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</si>
  <si>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</si>
  <si>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</si>
  <si>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</si>
  <si>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</si>
  <si>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</si>
  <si>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</si>
  <si>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</si>
  <si>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</si>
  <si>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</si>
  <si>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</si>
  <si>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</si>
  <si>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</si>
  <si>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</si>
  <si>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</si>
  <si>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</si>
  <si>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</si>
  <si>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</si>
  <si>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</si>
  <si>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</si>
  <si>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</si>
  <si>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</si>
  <si>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</si>
  <si>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</si>
  <si>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</si>
  <si>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</si>
  <si>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</si>
  <si>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</si>
  <si>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</si>
  <si>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</si>
  <si>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</si>
  <si>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</si>
  <si>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</si>
  <si>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</si>
  <si>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</si>
  <si>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</si>
  <si>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</si>
  <si>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</si>
  <si>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</si>
  <si>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</si>
  <si>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</si>
  <si>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</si>
  <si>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</si>
  <si>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</si>
  <si>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</si>
  <si>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</si>
  <si>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</si>
  <si>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</si>
  <si>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</si>
  <si>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</si>
  <si>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</si>
  <si>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</si>
  <si>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</si>
  <si>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</si>
  <si>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</si>
  <si>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</si>
  <si>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</si>
  <si>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</si>
  <si>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</si>
  <si>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</si>
  <si>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</si>
  <si>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</si>
  <si>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</si>
  <si>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</si>
  <si>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</si>
  <si>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</si>
  <si>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</si>
  <si>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</si>
  <si>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</si>
  <si>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</si>
  <si>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</si>
  <si>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</si>
  <si>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</si>
  <si>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</si>
  <si>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</si>
  <si>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</si>
  <si>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</si>
  <si>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</si>
  <si>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</si>
  <si>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</si>
  <si>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</si>
  <si>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</si>
  <si>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</si>
  <si>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</si>
  <si>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</si>
  <si>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</si>
  <si>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</si>
  <si>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</si>
  <si>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</si>
  <si>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</si>
  <si>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</si>
  <si>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</si>
  <si>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</si>
  <si>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</si>
  <si>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</si>
  <si>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</si>
  <si>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</si>
  <si>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</si>
  <si>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</si>
  <si>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</si>
  <si>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</si>
  <si>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</si>
  <si>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</si>
  <si>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</si>
  <si>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</si>
  <si>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</si>
  <si>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</si>
  <si>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</si>
  <si>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</si>
  <si>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</si>
  <si>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</si>
  <si>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</si>
  <si>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</si>
  <si>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</si>
  <si>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</si>
  <si>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</si>
  <si>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</si>
  <si>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</si>
  <si>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</si>
  <si>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</si>
  <si>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</si>
  <si>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</si>
  <si>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</si>
  <si>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</si>
  <si>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</si>
  <si>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</si>
  <si>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</si>
  <si>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</si>
  <si>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</si>
  <si>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</si>
  <si>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</si>
  <si>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</si>
  <si>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</si>
  <si>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</si>
  <si>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</si>
  <si>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</si>
  <si>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</si>
  <si>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</si>
  <si>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</si>
  <si>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</si>
  <si>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</si>
  <si>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</si>
  <si>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</si>
  <si>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</si>
  <si>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</si>
  <si>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</si>
  <si>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</si>
  <si>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</si>
  <si>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</si>
  <si>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</si>
  <si>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</si>
  <si>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</si>
  <si>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</si>
  <si>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</si>
  <si>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</si>
  <si>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</si>
  <si>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</si>
  <si>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</si>
  <si>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</si>
  <si>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</si>
  <si>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</si>
  <si>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</si>
  <si>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</si>
  <si>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</si>
  <si>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</si>
  <si>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</si>
  <si>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</si>
  <si>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</si>
  <si>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</si>
  <si>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</si>
  <si>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</si>
  <si>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</si>
  <si>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</si>
  <si>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</si>
  <si>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</si>
  <si>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</si>
  <si>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</si>
  <si>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</si>
  <si>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</si>
  <si>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</si>
  <si>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</si>
  <si>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</si>
  <si>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</si>
  <si>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</si>
  <si>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</si>
  <si>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</si>
  <si>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</si>
  <si>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</si>
  <si>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</si>
  <si>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</si>
  <si>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</si>
  <si>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</si>
  <si>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</si>
  <si>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</si>
  <si>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</si>
  <si>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</si>
  <si>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</si>
  <si>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</si>
  <si>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</si>
  <si>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</si>
  <si>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</si>
  <si>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</si>
  <si>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</si>
  <si>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</si>
  <si>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</si>
  <si>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</si>
  <si>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</si>
  <si>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</si>
  <si>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</si>
  <si>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</si>
  <si>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</si>
  <si>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</si>
  <si>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</si>
  <si>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</si>
  <si>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</si>
  <si>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</si>
  <si>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</si>
  <si>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</si>
  <si>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</si>
  <si>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</si>
  <si>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</si>
  <si>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</si>
  <si>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</si>
  <si>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</si>
  <si>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</si>
  <si>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</si>
  <si>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</si>
  <si>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</si>
  <si>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</si>
  <si>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</si>
  <si>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</si>
  <si>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</si>
  <si>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</si>
  <si>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</si>
  <si>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</si>
  <si>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</si>
  <si>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</si>
  <si>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</si>
  <si>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</si>
  <si>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</si>
  <si>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</si>
  <si>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</si>
  <si>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</si>
  <si>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</si>
  <si>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</si>
  <si>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</si>
  <si>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</si>
  <si>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</si>
  <si>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</si>
  <si>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</si>
  <si>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</si>
  <si>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</si>
  <si>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</si>
  <si>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</si>
  <si>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</si>
  <si>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</si>
  <si>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</si>
  <si>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</si>
  <si>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</si>
  <si>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</si>
  <si>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</si>
  <si>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</si>
  <si>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</si>
  <si>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</si>
  <si>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</si>
  <si>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</si>
  <si>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</si>
  <si>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</si>
  <si>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</si>
  <si>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</si>
  <si>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</si>
  <si>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</si>
  <si>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</si>
  <si>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</si>
  <si>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</si>
  <si>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</si>
  <si>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</si>
  <si>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</si>
  <si>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</si>
  <si>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</si>
  <si>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</si>
  <si>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</si>
  <si>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</si>
  <si>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</si>
  <si>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</si>
  <si>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</si>
  <si>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</si>
  <si>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</si>
  <si>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</si>
  <si>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</si>
  <si>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</si>
  <si>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</si>
  <si>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</si>
  <si>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</si>
  <si>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</si>
  <si>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</si>
  <si>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</si>
  <si>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</si>
  <si>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</si>
  <si>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</si>
  <si>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</si>
  <si>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</si>
  <si>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</si>
  <si>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</si>
  <si>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</si>
  <si>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</si>
  <si>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</si>
  <si>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</si>
  <si>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</si>
  <si>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</si>
  <si>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</si>
  <si>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</si>
  <si>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</si>
  <si>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</si>
  <si>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</si>
  <si>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</si>
  <si>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</si>
  <si>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</si>
  <si>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</si>
  <si>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</si>
  <si>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</si>
  <si>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</si>
  <si>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</si>
  <si>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</si>
  <si>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</si>
  <si>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</si>
  <si>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</si>
  <si>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</si>
  <si>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</si>
  <si>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</si>
  <si>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</si>
  <si>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</si>
  <si>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</si>
  <si>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</si>
  <si>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</si>
  <si>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</si>
  <si>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</si>
  <si>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</si>
  <si>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</si>
  <si>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</si>
  <si>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</si>
  <si>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</si>
  <si>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</si>
  <si>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</si>
  <si>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</si>
  <si>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</si>
  <si>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</si>
  <si>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</si>
  <si>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</si>
  <si>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</si>
  <si>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</si>
  <si>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</si>
  <si>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</si>
  <si>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</si>
  <si>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</si>
  <si>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</si>
  <si>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</si>
  <si>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</si>
  <si>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</si>
  <si>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</si>
  <si>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</si>
  <si>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</si>
  <si>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</si>
  <si>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</si>
  <si>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</si>
  <si>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</si>
  <si>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</si>
  <si>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</si>
  <si>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</si>
  <si>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</si>
  <si>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</si>
  <si>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</si>
  <si>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</si>
  <si>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</si>
  <si>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</si>
  <si>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</si>
  <si>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</si>
  <si>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</si>
  <si>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</si>
  <si>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</si>
  <si>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</si>
  <si>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</si>
  <si>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</si>
  <si>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</si>
  <si>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</si>
  <si>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</si>
  <si>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</si>
  <si>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</si>
  <si>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</si>
  <si>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</si>
  <si>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</si>
  <si>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</si>
  <si>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</si>
  <si>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</si>
  <si>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</si>
  <si>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</si>
  <si>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</si>
  <si>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</si>
  <si>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</si>
  <si>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</si>
  <si>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</si>
  <si>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</si>
  <si>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</si>
  <si>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</si>
  <si>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</si>
  <si>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</si>
  <si>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</si>
  <si>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</si>
  <si>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</si>
  <si>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</si>
  <si>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</si>
  <si>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</si>
  <si>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</si>
  <si>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</si>
  <si>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</si>
  <si>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</si>
  <si>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</si>
  <si>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</si>
  <si>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</si>
  <si>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</si>
  <si>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</si>
  <si>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</si>
  <si>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</si>
  <si>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</si>
  <si>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</si>
  <si>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</si>
  <si>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</si>
  <si>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</si>
  <si>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</si>
  <si>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</si>
  <si>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</si>
  <si>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</si>
  <si>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</si>
  <si>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</si>
  <si>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</si>
  <si>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</si>
  <si>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</si>
  <si>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</si>
  <si>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</si>
  <si>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</si>
  <si>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</si>
  <si>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</si>
  <si>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</si>
  <si>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</si>
  <si>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</si>
  <si>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</si>
  <si>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</si>
  <si>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</si>
  <si>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</si>
  <si>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</si>
  <si>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</si>
  <si>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</si>
  <si>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</si>
  <si>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</si>
  <si>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</si>
  <si>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</si>
  <si>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</si>
  <si>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</si>
  <si>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</si>
  <si>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</si>
  <si>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</si>
  <si>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</si>
  <si>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</si>
  <si>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</si>
  <si>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</si>
  <si>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</si>
  <si>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</si>
  <si>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</si>
  <si>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</si>
  <si>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</si>
  <si>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</si>
  <si>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</si>
  <si>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</si>
  <si>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</si>
  <si>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</si>
  <si>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</si>
  <si>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</si>
  <si>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</si>
  <si>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</si>
  <si>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</si>
  <si>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</si>
  <si>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</si>
  <si>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</si>
  <si>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</si>
  <si>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</si>
  <si>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</si>
  <si>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</si>
  <si>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</si>
  <si>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</si>
  <si>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</si>
  <si>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</si>
  <si>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</si>
  <si>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</si>
  <si>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</si>
  <si>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</si>
  <si>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</si>
  <si>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</si>
  <si>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</si>
  <si>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</si>
  <si>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</si>
  <si>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</si>
  <si>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</si>
  <si>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</si>
  <si>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</si>
  <si>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</si>
  <si>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</si>
  <si>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</si>
  <si>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</si>
  <si>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</si>
  <si>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</si>
  <si>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</si>
  <si>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</si>
  <si>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</si>
  <si>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</si>
  <si>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</si>
  <si>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</si>
  <si>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</si>
  <si>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</si>
  <si>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</si>
  <si>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</si>
  <si>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</si>
  <si>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</si>
  <si>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</si>
  <si>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</si>
  <si>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</si>
  <si>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</si>
  <si>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</si>
  <si>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</si>
  <si>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</si>
  <si>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</si>
  <si>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</si>
  <si>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</si>
  <si>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</si>
  <si>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</si>
  <si>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</si>
  <si>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</si>
  <si>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</si>
  <si>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</si>
  <si>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</si>
  <si>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</si>
  <si>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</si>
  <si>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</si>
  <si>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</si>
  <si>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</si>
  <si>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</si>
  <si>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</si>
  <si>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</si>
  <si>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</si>
  <si>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</si>
  <si>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</si>
  <si>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</si>
  <si>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</si>
  <si>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</si>
  <si>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</si>
  <si>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</si>
  <si>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</si>
  <si>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</si>
  <si>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</si>
  <si>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</si>
  <si>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</si>
  <si>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</si>
  <si>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</si>
  <si>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</si>
  <si>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</si>
  <si>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</si>
  <si>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</si>
  <si>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</si>
  <si>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</si>
  <si>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</si>
  <si>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</si>
  <si>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</si>
  <si>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</si>
  <si>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</si>
  <si>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</si>
  <si>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</si>
  <si>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</si>
  <si>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</si>
  <si>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</si>
  <si>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</si>
  <si>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</si>
  <si>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</si>
  <si>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</si>
  <si>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</si>
  <si>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</si>
  <si>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</si>
  <si>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</si>
  <si>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</si>
  <si>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</si>
  <si>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</si>
  <si>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</si>
  <si>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</si>
  <si>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</si>
  <si>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</si>
  <si>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</si>
  <si>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</si>
  <si>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</si>
  <si>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</si>
  <si>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</si>
  <si>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</si>
  <si>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</si>
  <si>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</si>
  <si>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</si>
  <si>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</si>
  <si>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</si>
  <si>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</si>
  <si>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</si>
  <si>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</si>
  <si>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</si>
  <si>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</si>
  <si>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</si>
  <si>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</si>
  <si>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</si>
  <si>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</si>
  <si>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</si>
  <si>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</si>
  <si>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</si>
  <si>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</si>
  <si>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</si>
  <si>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</si>
  <si>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</si>
  <si>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</si>
  <si>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</si>
  <si>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</si>
  <si>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</si>
  <si>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</si>
  <si>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</si>
  <si>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</si>
  <si>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</si>
  <si>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</si>
  <si>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</si>
  <si>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</si>
  <si>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</si>
  <si>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</si>
  <si>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</si>
  <si>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</si>
  <si>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</si>
  <si>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</si>
  <si>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</si>
  <si>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</si>
  <si>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</si>
  <si>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</si>
  <si>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</si>
  <si>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</si>
  <si>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</si>
  <si>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</si>
  <si>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</si>
  <si>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</si>
  <si>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</si>
  <si>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</si>
  <si>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</si>
  <si>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</si>
  <si>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</si>
  <si>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</si>
  <si>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</si>
  <si>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</si>
  <si>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</si>
  <si>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</si>
  <si>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</si>
  <si>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</si>
  <si>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</si>
  <si>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</si>
  <si>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</si>
  <si>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</si>
  <si>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</si>
  <si>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</si>
  <si>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</si>
  <si>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</si>
  <si>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</si>
  <si>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</si>
  <si>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</si>
  <si>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</si>
  <si>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</si>
  <si>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</si>
  <si>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</si>
  <si>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</si>
  <si>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</si>
  <si>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</si>
  <si>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</si>
  <si>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</si>
  <si>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</si>
  <si>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</si>
  <si>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</si>
  <si>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</si>
  <si>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</si>
  <si>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</si>
  <si>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</si>
  <si>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</si>
  <si>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</si>
  <si>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</si>
  <si>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</si>
  <si>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</si>
  <si>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</si>
  <si>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</si>
  <si>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</si>
  <si>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</si>
  <si>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</si>
  <si>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</si>
  <si>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</si>
  <si>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</si>
  <si>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</si>
  <si>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</si>
  <si>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</si>
  <si>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</si>
  <si>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</si>
  <si>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</si>
  <si>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</si>
  <si>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</si>
  <si>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</si>
  <si>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</si>
  <si>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</si>
  <si>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</si>
  <si>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</si>
  <si>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</si>
  <si>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</si>
  <si>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</si>
  <si>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</si>
  <si>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</si>
  <si>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</si>
  <si>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</si>
  <si>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</si>
  <si>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</si>
  <si>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</si>
  <si>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</si>
  <si>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</si>
  <si>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</si>
  <si>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</si>
  <si>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</si>
  <si>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</si>
  <si>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</si>
  <si>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</si>
  <si>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</si>
  <si>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</si>
  <si>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</si>
  <si>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</si>
  <si>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</si>
  <si>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</si>
  <si>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</si>
  <si>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</si>
  <si>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</si>
  <si>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</si>
  <si>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</si>
  <si>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</si>
  <si>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</si>
  <si>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</si>
  <si>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</si>
  <si>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</si>
  <si>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</si>
  <si>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</si>
  <si>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</si>
  <si>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</si>
  <si>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</si>
  <si>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</si>
  <si>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</si>
  <si>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</si>
  <si>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</si>
  <si>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</si>
  <si>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</si>
  <si>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</si>
  <si>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</si>
  <si>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</si>
  <si>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</si>
  <si>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</si>
  <si>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</si>
  <si>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</si>
  <si>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</si>
  <si>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</si>
  <si>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</si>
  <si>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</si>
  <si>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</si>
  <si>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</si>
  <si>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</si>
  <si>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</si>
  <si>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</si>
  <si>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</si>
  <si>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</si>
  <si>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</si>
  <si>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</si>
  <si>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</si>
  <si>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</si>
  <si>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</si>
  <si>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</si>
  <si>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</si>
  <si>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</si>
  <si>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</si>
  <si>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</si>
  <si>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</si>
  <si>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</si>
  <si>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</si>
  <si>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</si>
  <si>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</si>
  <si>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</si>
  <si>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</si>
  <si>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</si>
  <si>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</si>
  <si>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</si>
  <si>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</si>
  <si>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</si>
  <si>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</si>
  <si>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</si>
  <si>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</si>
  <si>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</si>
  <si>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</si>
  <si>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</si>
  <si>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</si>
  <si>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</si>
  <si>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</si>
  <si>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</si>
  <si>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</si>
  <si>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</si>
  <si>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</si>
  <si>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</si>
  <si>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</si>
  <si>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</si>
  <si>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</si>
  <si>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</si>
  <si>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</si>
  <si>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</si>
  <si>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</si>
  <si>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</si>
  <si>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</si>
  <si>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</si>
  <si>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</si>
  <si>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</si>
  <si>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</si>
  <si>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</si>
  <si>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</si>
  <si>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</si>
  <si>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</si>
  <si>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</si>
  <si>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</si>
  <si>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</si>
  <si>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</si>
  <si>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</si>
  <si>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</si>
  <si>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</si>
  <si>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</si>
  <si>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</si>
  <si>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</si>
  <si>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</si>
  <si>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</si>
  <si>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</si>
  <si>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</si>
  <si>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</si>
  <si>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</si>
  <si>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</si>
  <si>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</si>
  <si>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</si>
  <si>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</si>
  <si>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</si>
  <si>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</si>
  <si>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</si>
  <si>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</si>
  <si>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</si>
  <si>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</si>
  <si>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</si>
  <si>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</si>
  <si>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</si>
  <si>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</si>
  <si>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</si>
  <si>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</si>
  <si>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</si>
  <si>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</si>
  <si>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</si>
  <si>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</si>
  <si>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</si>
  <si>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</si>
  <si>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</si>
  <si>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</si>
  <si>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</si>
  <si>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</si>
  <si>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</si>
  <si>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</si>
  <si>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</si>
  <si>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</si>
  <si>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</si>
  <si>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</si>
  <si>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</si>
  <si>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</si>
  <si>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</si>
  <si>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</si>
  <si>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</si>
  <si>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</si>
  <si>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</si>
  <si>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</si>
  <si>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</si>
  <si>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</si>
  <si>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</si>
  <si>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</si>
  <si>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</si>
  <si>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</si>
  <si>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</si>
  <si>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</si>
  <si>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</si>
  <si>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</si>
  <si>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</si>
  <si>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</si>
  <si>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</si>
  <si>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</si>
  <si>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</si>
  <si>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</si>
  <si>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</si>
  <si>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</si>
  <si>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</si>
  <si>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</si>
  <si>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</si>
  <si>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</si>
  <si>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</si>
  <si>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</si>
  <si>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</si>
  <si>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</si>
  <si>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</si>
  <si>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</si>
  <si>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</si>
  <si>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</si>
  <si>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</si>
  <si>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</si>
  <si>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</si>
  <si>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</si>
  <si>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</si>
  <si>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</si>
  <si>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</si>
  <si>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</si>
  <si>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</si>
  <si>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</si>
  <si>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</si>
  <si>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</si>
  <si>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</si>
  <si>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</si>
  <si>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</si>
  <si>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</si>
  <si>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</si>
  <si>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</si>
  <si>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</si>
  <si>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</si>
  <si>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</si>
  <si>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</si>
  <si>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</si>
  <si>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</si>
  <si>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</si>
  <si>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</si>
  <si>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</si>
  <si>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</si>
  <si>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</si>
  <si>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</si>
  <si>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</si>
  <si>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</si>
  <si>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</si>
  <si>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</si>
  <si>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</si>
  <si>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</si>
  <si>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</si>
  <si>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</si>
  <si>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</si>
  <si>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</si>
  <si>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</si>
  <si>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</si>
  <si>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</si>
  <si>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</si>
  <si>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</si>
  <si>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</si>
  <si>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</si>
  <si>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</si>
  <si>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</si>
  <si>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</si>
  <si>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</si>
  <si>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</si>
  <si>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</si>
  <si>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</si>
  <si>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</si>
  <si>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</si>
  <si>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</si>
  <si>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</si>
  <si>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</si>
  <si>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</si>
  <si>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</si>
  <si>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</si>
  <si>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</si>
  <si>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</si>
  <si>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</si>
  <si>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</si>
  <si>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</si>
  <si>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</si>
  <si>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</si>
  <si>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</si>
  <si>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</si>
  <si>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</si>
  <si>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</si>
  <si>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</si>
  <si>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</si>
  <si>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</si>
  <si>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</si>
  <si>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</si>
  <si>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</si>
  <si>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</si>
  <si>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</si>
  <si>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</si>
  <si>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</si>
  <si>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</si>
  <si>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</si>
  <si>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</si>
  <si>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</si>
  <si>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</si>
  <si>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</si>
  <si>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</si>
  <si>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</si>
  <si>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</si>
  <si>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</si>
  <si>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</si>
  <si>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</si>
  <si>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</si>
  <si>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</si>
  <si>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</si>
  <si>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</si>
  <si>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</si>
  <si>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</si>
  <si>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</si>
  <si>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</si>
  <si>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</si>
  <si>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</si>
  <si>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</si>
  <si>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</si>
  <si>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</si>
  <si>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</si>
  <si>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</si>
  <si>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</si>
  <si>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</si>
  <si>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</si>
  <si>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</si>
  <si>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</si>
  <si>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</si>
  <si>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</si>
  <si>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</si>
  <si>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</si>
  <si>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</si>
  <si>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</si>
  <si>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</si>
  <si>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</si>
  <si>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</si>
  <si>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</si>
  <si>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</si>
  <si>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</si>
  <si>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</si>
  <si>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</si>
  <si>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</si>
  <si>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</si>
  <si>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</si>
  <si>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</si>
  <si>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</si>
  <si>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</si>
  <si>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</si>
  <si>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</si>
  <si>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</si>
  <si>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</si>
  <si>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</si>
  <si>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</si>
  <si>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</si>
  <si>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</si>
  <si>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</si>
  <si>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</si>
  <si>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</si>
  <si>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</si>
  <si>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</si>
  <si>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</si>
  <si>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</si>
  <si>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</si>
  <si>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</si>
  <si>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</si>
  <si>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</si>
  <si>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</si>
  <si>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</si>
  <si>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</si>
  <si>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</si>
  <si>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</si>
  <si>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</si>
  <si>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</si>
  <si>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</si>
  <si>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</si>
  <si>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</si>
  <si>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</si>
  <si>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</si>
  <si>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</si>
  <si>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</si>
  <si>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</si>
  <si>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</si>
  <si>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</si>
  <si>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</si>
  <si>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</si>
  <si>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</si>
  <si>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</si>
  <si>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</si>
  <si>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</si>
  <si>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</si>
  <si>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</si>
  <si>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</si>
  <si>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</si>
  <si>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</si>
  <si>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</si>
  <si>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</si>
  <si>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</si>
  <si>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</si>
  <si>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</si>
  <si>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</si>
  <si>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</si>
  <si>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</si>
  <si>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</si>
  <si>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</si>
  <si>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</si>
  <si>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</si>
  <si>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</si>
  <si>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</si>
  <si>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</si>
  <si>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</si>
  <si>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</si>
  <si>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</si>
  <si>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</si>
  <si>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</si>
  <si>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</si>
  <si>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</si>
  <si>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</si>
  <si>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</si>
  <si>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</si>
  <si>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</si>
  <si>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</si>
  <si>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</si>
  <si>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</si>
  <si>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</si>
  <si>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</si>
  <si>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</si>
  <si>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</si>
  <si>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</si>
  <si>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</si>
  <si>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</si>
  <si>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</si>
  <si>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</si>
  <si>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</si>
  <si>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</si>
  <si>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</si>
  <si>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</si>
  <si>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</si>
  <si>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</si>
  <si>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</si>
  <si>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</si>
  <si>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</si>
  <si>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</si>
  <si>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</si>
  <si>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</si>
  <si>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</si>
  <si>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</si>
  <si>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</si>
  <si>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</si>
  <si>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</si>
  <si>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</si>
  <si>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</si>
  <si>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</si>
  <si>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</si>
  <si>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</si>
  <si>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</si>
  <si>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</si>
  <si>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</si>
  <si>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</si>
  <si>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</si>
  <si>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</si>
  <si>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</si>
  <si>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</si>
  <si>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</si>
  <si>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</si>
  <si>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</si>
  <si>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</si>
  <si>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</si>
  <si>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</si>
  <si>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</si>
  <si>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</si>
  <si>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</si>
  <si>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</si>
  <si>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</si>
  <si>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</si>
  <si>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</si>
  <si>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</si>
  <si>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</si>
  <si>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</si>
  <si>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</si>
  <si>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</si>
  <si>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</si>
  <si>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</si>
  <si>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</si>
  <si>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</si>
  <si>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</si>
  <si>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</si>
  <si>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</si>
  <si>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</si>
  <si>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</si>
  <si>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</si>
  <si>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</si>
  <si>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</si>
  <si>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</si>
  <si>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</si>
  <si>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</si>
  <si>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</si>
  <si>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</si>
  <si>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</si>
  <si>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</si>
  <si>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</si>
  <si>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</si>
  <si>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</si>
  <si>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</si>
  <si>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</si>
  <si>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</si>
  <si>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</si>
  <si>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</si>
  <si>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</si>
  <si>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</si>
  <si>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</si>
  <si>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</si>
  <si>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</si>
  <si>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</si>
  <si>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</si>
  <si>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</si>
  <si>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</si>
  <si>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</si>
  <si>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</si>
  <si>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</si>
  <si>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</si>
  <si>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</si>
  <si>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</si>
  <si>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</si>
  <si>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</si>
  <si>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</si>
  <si>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</si>
  <si>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</si>
  <si>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</si>
  <si>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</si>
  <si>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</si>
  <si>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</si>
  <si>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</si>
  <si>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</si>
  <si>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</si>
  <si>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</si>
  <si>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</si>
  <si>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</si>
  <si>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</si>
  <si>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</si>
  <si>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</si>
  <si>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</si>
  <si>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</si>
  <si>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</si>
  <si>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</si>
  <si>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</si>
  <si>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</si>
  <si>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</si>
  <si>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</si>
  <si>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</si>
  <si>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</si>
  <si>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</si>
  <si>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</si>
  <si>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</si>
  <si>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</si>
  <si>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</si>
  <si>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</si>
  <si>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</si>
  <si>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</si>
  <si>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</si>
  <si>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</si>
  <si>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</si>
  <si>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</si>
  <si>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</si>
  <si>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</si>
  <si>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</si>
  <si>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</si>
  <si>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</si>
  <si>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</si>
  <si>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</si>
  <si>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</si>
  <si>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</si>
  <si>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</si>
  <si>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</si>
  <si>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</si>
  <si>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</si>
  <si>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</si>
  <si>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</si>
  <si>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</si>
  <si>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</si>
  <si>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</si>
  <si>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</si>
  <si>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</si>
  <si>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</si>
  <si>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</si>
  <si>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</si>
  <si>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</si>
  <si>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</si>
  <si>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</si>
  <si>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</si>
  <si>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</si>
  <si>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</si>
  <si>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</si>
  <si>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</si>
  <si>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</si>
  <si>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</si>
  <si>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</si>
  <si>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</si>
  <si>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</si>
  <si>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</si>
  <si>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</si>
  <si>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</si>
  <si>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</si>
  <si>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</si>
  <si>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</si>
  <si>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</si>
  <si>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</si>
  <si>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</si>
  <si>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</si>
  <si>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</si>
  <si>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</si>
  <si>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</si>
  <si>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</si>
  <si>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</si>
  <si>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</si>
  <si>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</si>
  <si>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</si>
  <si>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</si>
  <si>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</si>
  <si>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</si>
  <si>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</si>
  <si>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</si>
  <si>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</si>
  <si>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</si>
  <si>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</si>
  <si>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</si>
  <si>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</si>
  <si>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</si>
  <si>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</si>
  <si>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</si>
  <si>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</si>
  <si>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</si>
  <si>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</si>
  <si>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</si>
  <si>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</si>
  <si>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</si>
  <si>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</si>
  <si>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</si>
  <si>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</si>
  <si>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</si>
  <si>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</si>
  <si>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</si>
  <si>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</si>
  <si>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</si>
  <si>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</si>
  <si>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</si>
  <si>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</si>
  <si>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</si>
  <si>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</si>
  <si>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</si>
  <si>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</si>
  <si>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</si>
  <si>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</si>
  <si>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</si>
  <si>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</si>
  <si>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</si>
  <si>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</si>
  <si>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</si>
  <si>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</si>
  <si>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</si>
  <si>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</si>
  <si>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</si>
  <si>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</si>
  <si>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</si>
  <si>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</si>
  <si>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</si>
  <si>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</si>
  <si>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</si>
  <si>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</si>
  <si>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</si>
  <si>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</si>
  <si>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</si>
  <si>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</si>
  <si>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</si>
  <si>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</si>
  <si>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</si>
  <si>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</si>
  <si>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</si>
  <si>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</si>
  <si>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</si>
  <si>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</si>
  <si>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</si>
  <si>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</si>
  <si>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</si>
  <si>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</si>
  <si>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</si>
  <si>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</si>
  <si>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</si>
  <si>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</si>
  <si>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</si>
  <si>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</si>
  <si>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</si>
  <si>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</si>
  <si>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</si>
  <si>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</si>
  <si>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</si>
  <si>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</si>
  <si>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</si>
  <si>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</si>
  <si>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</si>
  <si>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</si>
  <si>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</si>
  <si>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</si>
  <si>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</si>
  <si>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</si>
  <si>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</si>
  <si>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</si>
  <si>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</si>
  <si>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</si>
  <si>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</si>
  <si>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</si>
  <si>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</si>
  <si>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</si>
  <si>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</si>
  <si>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</si>
  <si>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</si>
  <si>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</si>
  <si>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</si>
  <si>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</si>
  <si>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</si>
  <si>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</si>
  <si>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</si>
  <si>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</si>
  <si>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</si>
  <si>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</si>
  <si>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</si>
  <si>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</si>
  <si>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</si>
  <si>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</si>
  <si>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</si>
  <si>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</si>
  <si>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</si>
  <si>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</si>
  <si>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</si>
  <si>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</si>
  <si>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</si>
  <si>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</si>
  <si>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</si>
  <si>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</si>
  <si>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</si>
  <si>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</si>
  <si>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</si>
  <si>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</si>
  <si>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</si>
  <si>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</si>
  <si>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</si>
  <si>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</si>
  <si>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</si>
  <si>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</si>
  <si>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</si>
  <si>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</si>
  <si>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</si>
  <si>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</si>
  <si>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</si>
  <si>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</si>
  <si>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</si>
  <si>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</si>
  <si>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</si>
  <si>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</si>
  <si>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</si>
  <si>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</si>
  <si>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</si>
  <si>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</si>
  <si>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</si>
  <si>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</si>
  <si>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</si>
  <si>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</si>
  <si>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</si>
  <si>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</si>
  <si>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</si>
  <si>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</si>
  <si>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</si>
  <si>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</si>
  <si>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</si>
  <si>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</si>
  <si>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</si>
  <si>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</si>
  <si>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</si>
  <si>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</si>
  <si>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</si>
  <si>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</si>
  <si>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</si>
  <si>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</si>
  <si>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</si>
  <si>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</si>
  <si>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</si>
  <si>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</si>
  <si>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</si>
  <si>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</si>
  <si>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</si>
  <si>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</si>
  <si>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</si>
  <si>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</si>
  <si>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</si>
  <si>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</si>
  <si>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</si>
  <si>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</si>
  <si>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</si>
  <si>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</si>
  <si>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</si>
  <si>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</si>
  <si>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</si>
  <si>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</si>
  <si>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</si>
  <si>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</si>
  <si>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</si>
  <si>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</si>
  <si>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</si>
  <si>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</si>
  <si>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</si>
  <si>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</si>
  <si>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</si>
  <si>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</si>
  <si>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</si>
  <si>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</si>
  <si>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</si>
  <si>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</si>
  <si>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</si>
  <si>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</si>
  <si>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</si>
  <si>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</si>
  <si>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</si>
  <si>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</si>
  <si>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</si>
  <si>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</si>
  <si>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</si>
  <si>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</si>
  <si>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</si>
  <si>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</si>
  <si>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</si>
  <si>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</si>
  <si>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</si>
  <si>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</si>
  <si>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</si>
  <si>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</si>
  <si>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</si>
  <si>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</si>
  <si>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</si>
  <si>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</si>
  <si>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</si>
  <si>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</si>
  <si>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</si>
  <si>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</si>
  <si>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</si>
  <si>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</si>
  <si>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</si>
  <si>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</si>
  <si>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</si>
  <si>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</si>
  <si>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</si>
  <si>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</si>
  <si>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</si>
  <si>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</si>
  <si>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</si>
  <si>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</si>
  <si>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</si>
  <si>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</si>
  <si>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</si>
  <si>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</si>
  <si>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</si>
  <si>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</si>
  <si>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</si>
  <si>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</si>
  <si>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</si>
  <si>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</si>
  <si>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</si>
  <si>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</si>
  <si>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</si>
  <si>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</si>
  <si>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</si>
  <si>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</si>
  <si>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</si>
  <si>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</si>
  <si>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</si>
  <si>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</si>
  <si>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</si>
  <si>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</si>
  <si>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</si>
  <si>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</si>
  <si>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</si>
  <si>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</si>
  <si>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</si>
  <si>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</si>
  <si>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</si>
  <si>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</si>
  <si>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</si>
  <si>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</si>
  <si>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</si>
  <si>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</si>
  <si>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</si>
  <si>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</si>
  <si>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</si>
  <si>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</si>
  <si>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</si>
  <si>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</si>
  <si>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</si>
  <si>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</si>
  <si>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</si>
  <si>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</si>
  <si>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</si>
  <si>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</si>
  <si>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</si>
  <si>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</si>
  <si>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</si>
  <si>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</si>
  <si>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</si>
  <si>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</si>
  <si>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</si>
  <si>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</si>
  <si>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</si>
  <si>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</si>
  <si>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</si>
  <si>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</si>
  <si>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</si>
  <si>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</si>
  <si>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</si>
  <si>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</si>
  <si>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</si>
  <si>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</si>
  <si>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</si>
  <si>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</si>
  <si>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</si>
  <si>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</si>
  <si>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</si>
  <si>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</si>
  <si>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</si>
  <si>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</si>
  <si>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</si>
  <si>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</si>
  <si>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</si>
  <si>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</si>
  <si>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</si>
  <si>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</si>
  <si>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</si>
  <si>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</si>
  <si>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</si>
  <si>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</si>
  <si>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</si>
  <si>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</si>
  <si>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</si>
  <si>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</si>
  <si>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</si>
  <si>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</si>
  <si>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</si>
  <si>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</si>
  <si>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</si>
  <si>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</si>
  <si>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</si>
  <si>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</si>
  <si>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</si>
  <si>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</si>
  <si>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</si>
  <si>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</si>
  <si>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</si>
  <si>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</si>
  <si>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</si>
  <si>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</si>
  <si>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</si>
  <si>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</si>
  <si>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</si>
  <si>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</si>
  <si>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</si>
  <si>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</si>
  <si>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</si>
  <si>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</si>
  <si>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</si>
  <si>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</si>
  <si>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</si>
  <si>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</si>
  <si>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</si>
  <si>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</si>
  <si>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</si>
  <si>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</si>
  <si>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</si>
  <si>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</si>
  <si>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</si>
  <si>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</si>
  <si>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</si>
  <si>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</si>
  <si>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</si>
  <si>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</si>
  <si>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</si>
  <si>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</si>
  <si>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</si>
  <si>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</si>
  <si>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</si>
  <si>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</si>
  <si>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</si>
  <si>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</si>
  <si>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</si>
  <si>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</si>
  <si>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</si>
  <si>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</si>
  <si>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</si>
  <si>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</si>
  <si>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</si>
  <si>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</si>
  <si>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</si>
  <si>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</si>
  <si>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</si>
  <si>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</si>
  <si>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</si>
  <si>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</si>
  <si>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</si>
  <si>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</si>
  <si>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</si>
  <si>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</si>
  <si>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</si>
  <si>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</si>
  <si>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</si>
  <si>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</si>
  <si>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</si>
  <si>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</si>
  <si>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</si>
  <si>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</si>
  <si>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</si>
  <si>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</si>
  <si>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</si>
  <si>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</si>
  <si>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</si>
  <si>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</si>
  <si>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</si>
  <si>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</si>
  <si>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</si>
  <si>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</si>
  <si>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</si>
  <si>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</si>
  <si>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</si>
  <si>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</si>
  <si>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</si>
  <si>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</si>
  <si>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</si>
  <si>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</si>
  <si>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</si>
  <si>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</si>
  <si>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</si>
  <si>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</si>
  <si>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</si>
  <si>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</si>
  <si>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</si>
  <si>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</si>
  <si>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</si>
  <si>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</si>
  <si>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</si>
  <si>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</si>
  <si>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</si>
  <si>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</si>
  <si>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</si>
  <si>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</si>
  <si>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</si>
  <si>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</si>
  <si>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</si>
  <si>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</si>
  <si>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</si>
  <si>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</si>
  <si>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</si>
  <si>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</si>
  <si>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</si>
  <si>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</si>
  <si>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</si>
  <si>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</si>
  <si>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</si>
  <si>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</si>
  <si>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</si>
  <si>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</si>
  <si>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</si>
  <si>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</si>
  <si>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</si>
  <si>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</si>
  <si>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</si>
  <si>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</si>
  <si>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</si>
  <si>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</si>
  <si>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</si>
  <si>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</si>
  <si>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</si>
  <si>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</si>
  <si>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</si>
  <si>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</si>
  <si>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</si>
  <si>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</si>
  <si>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</si>
  <si>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</si>
  <si>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</si>
  <si>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</si>
  <si>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</si>
  <si>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</si>
  <si>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</si>
  <si>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</si>
  <si>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</si>
  <si>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</si>
  <si>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</si>
  <si>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</si>
  <si>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</si>
  <si>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</si>
  <si>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</si>
  <si>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</si>
  <si>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</si>
  <si>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</si>
  <si>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</si>
  <si>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</si>
  <si>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</si>
  <si>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</si>
  <si>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</si>
  <si>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</si>
  <si>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</si>
  <si>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</si>
  <si>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</si>
  <si>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</si>
  <si>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</si>
  <si>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</si>
  <si>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</si>
  <si>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</si>
  <si>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</si>
  <si>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</si>
  <si>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</si>
  <si>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</si>
  <si>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</si>
  <si>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</si>
  <si>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</si>
  <si>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</si>
  <si>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</si>
  <si>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</si>
  <si>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</si>
  <si>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</si>
  <si>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</si>
  <si>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</si>
  <si>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</si>
  <si>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</si>
  <si>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</si>
  <si>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</si>
  <si>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</si>
  <si>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</si>
  <si>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</si>
  <si>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</si>
  <si>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</si>
  <si>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</si>
  <si>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</si>
  <si>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</si>
  <si>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</si>
  <si>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</si>
  <si>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</si>
  <si>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</si>
  <si>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</si>
  <si>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</si>
  <si>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</si>
  <si>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</si>
  <si>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</si>
  <si>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</si>
  <si>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</si>
  <si>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</si>
  <si>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</si>
  <si>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</si>
  <si>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</si>
  <si>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</si>
  <si>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</si>
  <si>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</si>
  <si>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</si>
  <si>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</si>
  <si>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</si>
  <si>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</si>
  <si>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</si>
  <si>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</si>
  <si>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</si>
  <si>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</si>
  <si>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</si>
  <si>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</si>
  <si>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</si>
  <si>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</si>
  <si>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</si>
  <si>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</si>
  <si>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</si>
  <si>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</si>
  <si>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</si>
  <si>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</si>
  <si>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</si>
  <si>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</si>
  <si>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</si>
  <si>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</si>
  <si>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</si>
  <si>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</si>
  <si>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</si>
  <si>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</si>
  <si>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</si>
  <si>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</si>
  <si>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</si>
  <si>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</si>
  <si>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</si>
  <si>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</si>
  <si>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</si>
  <si>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</si>
  <si>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</si>
  <si>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</si>
  <si>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</si>
  <si>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</si>
  <si>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</si>
  <si>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</si>
  <si>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</si>
  <si>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</si>
  <si>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</si>
  <si>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</si>
  <si>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</si>
  <si>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</si>
  <si>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</si>
  <si>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</si>
  <si>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</si>
  <si>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</si>
  <si>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</si>
  <si>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</si>
  <si>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</si>
  <si>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</si>
  <si>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</si>
  <si>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</si>
  <si>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</si>
  <si>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</si>
  <si>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</si>
  <si>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</si>
  <si>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</si>
  <si>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</si>
  <si>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</si>
  <si>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</si>
  <si>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</si>
  <si>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</si>
  <si>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</si>
  <si>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</si>
  <si>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</si>
  <si>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</si>
  <si>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</si>
  <si>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</si>
  <si>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</si>
  <si>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</si>
  <si>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</si>
  <si>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</si>
  <si>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</si>
  <si>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</si>
  <si>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</si>
  <si>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</si>
  <si>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</si>
  <si>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</si>
  <si>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</si>
  <si>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</si>
  <si>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</si>
  <si>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</si>
  <si>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</si>
  <si>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</si>
  <si>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</si>
  <si>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</si>
  <si>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</si>
  <si>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</si>
  <si>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</si>
  <si>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</si>
  <si>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</si>
  <si>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</si>
  <si>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</si>
  <si>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</si>
  <si>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</si>
  <si>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</si>
  <si>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</si>
  <si>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</si>
  <si>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</si>
  <si>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</si>
  <si>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</si>
  <si>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</si>
  <si>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</si>
  <si>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</si>
  <si>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</si>
  <si>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</si>
  <si>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</si>
  <si>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</si>
  <si>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</si>
  <si>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</si>
  <si>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</si>
  <si>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</si>
  <si>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</si>
  <si>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</si>
  <si>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</si>
  <si>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</si>
  <si>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</si>
  <si>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</si>
  <si>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</si>
  <si>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</si>
  <si>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</si>
  <si>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</si>
  <si>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</si>
  <si>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</si>
  <si>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</si>
  <si>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</si>
  <si>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</si>
  <si>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</si>
  <si>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</si>
  <si>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</si>
  <si>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</si>
  <si>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</si>
  <si>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</si>
  <si>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</si>
  <si>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</si>
  <si>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</si>
  <si>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</si>
  <si>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</si>
  <si>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</si>
  <si>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</si>
  <si>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</si>
  <si>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</si>
  <si>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</si>
  <si>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</si>
  <si>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</si>
  <si>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</si>
  <si>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</si>
  <si>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</si>
  <si>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</si>
  <si>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</si>
  <si>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</si>
  <si>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</si>
  <si>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</si>
  <si>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</si>
  <si>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</si>
  <si>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</si>
  <si>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</si>
  <si>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</si>
  <si>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</si>
  <si>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</si>
  <si>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</si>
  <si>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</si>
  <si>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</si>
  <si>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</si>
  <si>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</si>
  <si>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</si>
  <si>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</si>
  <si>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</si>
  <si>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</si>
  <si>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</si>
  <si>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</si>
  <si>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</si>
  <si>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</si>
  <si>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</si>
  <si>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</si>
  <si>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</si>
  <si>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</si>
  <si>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</si>
  <si>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</si>
  <si>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</si>
  <si>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</si>
  <si>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</si>
  <si>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</si>
  <si>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</si>
  <si>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</si>
  <si>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</si>
  <si>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</si>
  <si>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</si>
  <si>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</si>
  <si>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</si>
  <si>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</si>
  <si>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</si>
  <si>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</si>
  <si>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</si>
  <si>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</si>
  <si>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</si>
  <si>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</si>
  <si>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</si>
  <si>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</si>
  <si>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</si>
  <si>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</si>
  <si>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</si>
  <si>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</si>
  <si>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</si>
  <si>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</si>
  <si>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</si>
  <si>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</si>
  <si>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</si>
  <si>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</si>
  <si>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</si>
  <si>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</si>
  <si>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</si>
  <si>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</si>
  <si>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</si>
  <si>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</si>
  <si>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</si>
  <si>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</si>
  <si>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</si>
  <si>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</si>
  <si>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</si>
  <si>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</si>
  <si>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</si>
  <si>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</si>
  <si>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020026844</t>
  </si>
  <si>
    <t>75422440757</t>
  </si>
  <si>
    <t>01344846</t>
  </si>
  <si>
    <t>Vodovod i kanalizaija d.o.o.</t>
  </si>
  <si>
    <t>Ivana Gorana Kovačića 14</t>
  </si>
  <si>
    <t>www.vodovod-ogulin.hr</t>
  </si>
  <si>
    <t>047/532-033</t>
  </si>
  <si>
    <t>bojan.prebezic@vodovod-ogulin.hr</t>
  </si>
  <si>
    <t>Ivana Magdić Kurelac</t>
  </si>
  <si>
    <t>047/525-380</t>
  </si>
  <si>
    <t>ivana.magdic.kurelac@vodovod-ogulin.hr</t>
  </si>
  <si>
    <t>Prebežić Bojan, dipl.ing.</t>
  </si>
  <si>
    <t>02956572833</t>
  </si>
  <si>
    <t>1</t>
  </si>
  <si>
    <t>2</t>
  </si>
  <si>
    <t>3</t>
  </si>
  <si>
    <t>4</t>
  </si>
  <si>
    <t>5</t>
  </si>
  <si>
    <t>6</t>
  </si>
  <si>
    <t>7</t>
  </si>
  <si>
    <t>8</t>
  </si>
  <si>
    <t>9</t>
  </si>
  <si>
    <t>10</t>
  </si>
  <si>
    <t>11</t>
  </si>
  <si>
    <t>12</t>
  </si>
  <si>
    <t>13</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</si>
</sst>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9881808.940000001</v>
      </c>
      <c r="I3" s="27">
        <f>ABS(ROUND(J3,0)-J3)+ABS(ROUND(K3,0)-K3)</f>
        <v>0</v>
      </c>
      <c r="J3" s="27">
        <f>Bilanca!I10</f>
        <v>167155973</v>
      </c>
      <c r="K3" s="27">
        <f>Bilanca!J10</f>
        <v>163467237</v>
      </c>
    </row>
    <row r="4" spans="1:11" ht="12.75">
      <c r="A4" s="4" t="s">
        <v>2697</v>
      </c>
      <c r="B4" s="25" t="s">
        <v>364</v>
      </c>
      <c r="D4" s="4" t="s">
        <v>554</v>
      </c>
      <c r="E4" s="4">
        <v>1</v>
      </c>
      <c r="F4" s="4">
        <f>Bilanca!G11</f>
        <v>3</v>
      </c>
      <c r="G4" s="4" t="str">
        <f>IF(Bilanca!H11=0,"",Bilanca!H11)</f>
        <v>1</v>
      </c>
      <c r="H4" s="26">
        <f>J4/100*F4+2*K4/100*F4</f>
        <v>28072.980000000003</v>
      </c>
      <c r="I4" s="27">
        <f>ABS(ROUND(J4,0)-J4)+ABS(ROUND(K4,0)-K4)</f>
        <v>0</v>
      </c>
      <c r="J4" s="27">
        <f>Bilanca!I11</f>
        <v>718074</v>
      </c>
      <c r="K4" s="27">
        <f>Bilanca!J11</f>
        <v>108846</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01344846</v>
      </c>
      <c r="D6" s="4" t="s">
        <v>554</v>
      </c>
      <c r="E6" s="4">
        <v>1</v>
      </c>
      <c r="F6" s="4">
        <f>Bilanca!G13</f>
        <v>5</v>
      </c>
      <c r="G6" s="4" t="str">
        <f>IF(Bilanca!H13=0,"",Bilanca!H13)</f>
        <v>1</v>
      </c>
      <c r="H6" s="26">
        <f aca="true" t="shared" si="0" ref="H6:H45">J6/100*F6+2*K6/100*F6</f>
        <v>46788.299999999996</v>
      </c>
      <c r="I6" s="27">
        <f aca="true" t="shared" si="1" ref="I6:I45">ABS(ROUND(J6,0)-J6)+ABS(ROUND(K6,0)-K6)</f>
        <v>0</v>
      </c>
      <c r="J6" s="27">
        <f>Bilanca!I13</f>
        <v>718074</v>
      </c>
      <c r="K6" s="27">
        <f>Bilanca!J13</f>
        <v>108846</v>
      </c>
    </row>
    <row r="7" spans="1:11" ht="12.75">
      <c r="A7" s="4" t="s">
        <v>1561</v>
      </c>
      <c r="B7" s="25" t="str">
        <f>RefStr!M27</f>
        <v>020026844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75422440757</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Vodovod i kanalizaija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47300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Ogulin</v>
      </c>
      <c r="D11" s="4" t="s">
        <v>554</v>
      </c>
      <c r="E11" s="4">
        <v>1</v>
      </c>
      <c r="F11" s="4">
        <f>Bilanca!G18</f>
        <v>10</v>
      </c>
      <c r="G11" s="4" t="str">
        <f>IF(Bilanca!H18=0,"",Bilanca!H18)</f>
        <v>1</v>
      </c>
      <c r="H11" s="26">
        <f t="shared" si="0"/>
        <v>49315468.1</v>
      </c>
      <c r="I11" s="27">
        <f t="shared" si="1"/>
        <v>0</v>
      </c>
      <c r="J11" s="27">
        <f>Bilanca!I18</f>
        <v>166437899</v>
      </c>
      <c r="K11" s="27">
        <f>Bilanca!J18</f>
        <v>163358391</v>
      </c>
    </row>
    <row r="12" spans="1:11" ht="12.75">
      <c r="A12" s="4" t="s">
        <v>2738</v>
      </c>
      <c r="B12" s="25" t="str">
        <f>TRIM(RefStr!C33)</f>
        <v>Ivana Gorana Kovačića 14</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bojan.prebezic@vodovod-ogulin.hr</v>
      </c>
      <c r="D13" s="4" t="s">
        <v>554</v>
      </c>
      <c r="E13" s="4">
        <v>1</v>
      </c>
      <c r="F13" s="4">
        <f>Bilanca!G20</f>
        <v>12</v>
      </c>
      <c r="G13" s="4" t="str">
        <f>IF(Bilanca!H20=0,"",Bilanca!H20)</f>
        <v>1</v>
      </c>
      <c r="H13" s="26">
        <f t="shared" si="0"/>
        <v>52095038.76</v>
      </c>
      <c r="I13" s="27">
        <f t="shared" si="1"/>
        <v>0</v>
      </c>
      <c r="J13" s="27">
        <f>Bilanca!I20</f>
        <v>145924973</v>
      </c>
      <c r="K13" s="27">
        <f>Bilanca!J20</f>
        <v>144100175</v>
      </c>
    </row>
    <row r="14" spans="1:11" ht="12.75">
      <c r="A14" s="4" t="s">
        <v>2885</v>
      </c>
      <c r="B14" s="25" t="str">
        <f>TRIM(RefStr!C37)</f>
        <v>www.vodovod-ogulin.hr</v>
      </c>
      <c r="D14" s="4" t="s">
        <v>554</v>
      </c>
      <c r="E14" s="4">
        <v>1</v>
      </c>
      <c r="F14" s="4">
        <f>Bilanca!G21</f>
        <v>13</v>
      </c>
      <c r="G14" s="4" t="str">
        <f>IF(Bilanca!H21=0,"",Bilanca!H21)</f>
        <v>1</v>
      </c>
      <c r="H14" s="26">
        <f t="shared" si="0"/>
        <v>5117509.8</v>
      </c>
      <c r="I14" s="27">
        <f t="shared" si="1"/>
        <v>0</v>
      </c>
      <c r="J14" s="27">
        <f>Bilanca!I21</f>
        <v>13771210</v>
      </c>
      <c r="K14" s="27">
        <f>Bilanca!J21</f>
        <v>12797125</v>
      </c>
    </row>
    <row r="15" spans="1:11" ht="12.75">
      <c r="A15" s="4" t="s">
        <v>2741</v>
      </c>
      <c r="B15" s="25" t="str">
        <f>TEXT(RefStr!J39,"00")</f>
        <v>04</v>
      </c>
      <c r="D15" s="4" t="s">
        <v>554</v>
      </c>
      <c r="E15" s="4">
        <v>1</v>
      </c>
      <c r="F15" s="4">
        <f>Bilanca!G22</f>
        <v>14</v>
      </c>
      <c r="G15" s="4" t="str">
        <f>IF(Bilanca!H22=0,"",Bilanca!H22)</f>
        <v>1</v>
      </c>
      <c r="H15" s="26">
        <f t="shared" si="0"/>
        <v>267139.18</v>
      </c>
      <c r="I15" s="27">
        <f t="shared" si="1"/>
        <v>0</v>
      </c>
      <c r="J15" s="27">
        <f>Bilanca!I22</f>
        <v>552685</v>
      </c>
      <c r="K15" s="27">
        <f>Bilanca!J22</f>
        <v>677726</v>
      </c>
    </row>
    <row r="16" spans="1:11" ht="12.75">
      <c r="A16" s="4" t="s">
        <v>2740</v>
      </c>
      <c r="B16" s="25" t="str">
        <f>TEXT(RefStr!C39,"000")</f>
        <v>297</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3600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t="str">
        <f>IF(Bilanca!H25=0,"",Bilanca!H25)</f>
        <v>1</v>
      </c>
      <c r="H18" s="26">
        <f t="shared" si="0"/>
        <v>3018479.37</v>
      </c>
      <c r="I18" s="27">
        <f t="shared" si="1"/>
        <v>0</v>
      </c>
      <c r="J18" s="27">
        <f>Bilanca!I25</f>
        <v>6189031</v>
      </c>
      <c r="K18" s="27">
        <f>Bilanca!J25</f>
        <v>5783365</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48</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52</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48</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52</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8153001.0600000005</v>
      </c>
      <c r="I38" s="27">
        <f t="shared" si="1"/>
        <v>0</v>
      </c>
      <c r="J38" s="27">
        <f>Bilanca!I45</f>
        <v>7798774</v>
      </c>
      <c r="K38" s="27">
        <f>Bilanca!J45</f>
        <v>7118182</v>
      </c>
    </row>
    <row r="39" spans="1:11" ht="12.75">
      <c r="A39" s="4" t="s">
        <v>1611</v>
      </c>
      <c r="B39" s="25" t="str">
        <f>RefStr!C68</f>
        <v>Ivana Magdić Kurelac</v>
      </c>
      <c r="D39" s="4" t="s">
        <v>554</v>
      </c>
      <c r="E39" s="4">
        <v>1</v>
      </c>
      <c r="F39" s="4">
        <f>Bilanca!G46</f>
        <v>38</v>
      </c>
      <c r="G39" s="4" t="str">
        <f>IF(Bilanca!H46=0,"",Bilanca!H46)</f>
        <v>2</v>
      </c>
      <c r="H39" s="26">
        <f t="shared" si="0"/>
        <v>1035236.6599999999</v>
      </c>
      <c r="I39" s="27">
        <f t="shared" si="1"/>
        <v>0</v>
      </c>
      <c r="J39" s="27">
        <f>Bilanca!I46</f>
        <v>950559</v>
      </c>
      <c r="K39" s="27">
        <f>Bilanca!J46</f>
        <v>886874</v>
      </c>
    </row>
    <row r="40" spans="1:11" ht="12.75">
      <c r="A40" s="4" t="s">
        <v>1612</v>
      </c>
      <c r="B40" s="25" t="str">
        <f>TRIM(RefStr!C70)</f>
        <v>047/525-380</v>
      </c>
      <c r="D40" s="4" t="s">
        <v>554</v>
      </c>
      <c r="E40" s="4">
        <v>1</v>
      </c>
      <c r="F40" s="4">
        <f>Bilanca!G47</f>
        <v>39</v>
      </c>
      <c r="G40" s="4" t="str">
        <f>IF(Bilanca!H47=0,"",Bilanca!H47)</f>
        <v>2</v>
      </c>
      <c r="H40" s="26">
        <f t="shared" si="0"/>
        <v>1062479.73</v>
      </c>
      <c r="I40" s="27">
        <f t="shared" si="1"/>
        <v>0</v>
      </c>
      <c r="J40" s="27">
        <f>Bilanca!I47</f>
        <v>950559</v>
      </c>
      <c r="K40" s="27">
        <f>Bilanca!J47</f>
        <v>886874</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ivana.magdic.kurelac@vodovod-ogulin.hr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Prebežić Bojan, dipl.ing.</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6128844.5</v>
      </c>
      <c r="I47" s="27">
        <f t="shared" si="3"/>
        <v>0</v>
      </c>
      <c r="J47" s="27">
        <f>Bilanca!I54</f>
        <v>4206901</v>
      </c>
      <c r="K47" s="27">
        <f>Bilanca!J54</f>
        <v>4558337</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t="str">
        <f>IF(Bilanca!H57=0,"",Bilanca!H57)</f>
        <v>3</v>
      </c>
      <c r="H50" s="26">
        <f t="shared" si="2"/>
        <v>6327546.89</v>
      </c>
      <c r="I50" s="27">
        <f t="shared" si="3"/>
        <v>0</v>
      </c>
      <c r="J50" s="27">
        <f>Bilanca!I57</f>
        <v>4093471</v>
      </c>
      <c r="K50" s="27">
        <f>Bilanca!J57</f>
        <v>4409945</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t="str">
        <f>IF(Bilanca!H59=0,"",Bilanca!H59)</f>
        <v>3</v>
      </c>
      <c r="H52" s="26">
        <f t="shared" si="2"/>
        <v>74877.69</v>
      </c>
      <c r="I52" s="27">
        <f t="shared" si="3"/>
        <v>0</v>
      </c>
      <c r="J52" s="27">
        <f>Bilanca!I59</f>
        <v>31075</v>
      </c>
      <c r="K52" s="27">
        <f>Bilanca!J59</f>
        <v>57872</v>
      </c>
    </row>
    <row r="53" spans="1:11" ht="12.75">
      <c r="A53" s="4" t="s">
        <v>1301</v>
      </c>
      <c r="B53" s="25" t="str">
        <f>RefStr!I56</f>
        <v>DA</v>
      </c>
      <c r="D53" s="4" t="s">
        <v>554</v>
      </c>
      <c r="E53" s="4">
        <v>1</v>
      </c>
      <c r="F53" s="4">
        <f>Bilanca!G60</f>
        <v>52</v>
      </c>
      <c r="G53" s="4" t="str">
        <f>IF(Bilanca!H60=0,"",Bilanca!H60)</f>
        <v>3</v>
      </c>
      <c r="H53" s="26">
        <f t="shared" si="2"/>
        <v>136965.4</v>
      </c>
      <c r="I53" s="27">
        <f t="shared" si="3"/>
        <v>0</v>
      </c>
      <c r="J53" s="27">
        <f>Bilanca!I60</f>
        <v>82355</v>
      </c>
      <c r="K53" s="27">
        <f>Bilanca!J60</f>
        <v>90520</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3222948649.4400005</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02956572833</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t="str">
        <f>IF(Bilanca!H71=0,"",Bilanca!H71)</f>
        <v>4</v>
      </c>
      <c r="H64" s="26">
        <f t="shared" si="2"/>
        <v>3771971.2800000003</v>
      </c>
      <c r="I64" s="27">
        <f t="shared" si="3"/>
        <v>0</v>
      </c>
      <c r="J64" s="27">
        <f>Bilanca!I71</f>
        <v>2641314</v>
      </c>
      <c r="K64" s="27">
        <f>Bilanca!J71</f>
        <v>1672971</v>
      </c>
    </row>
    <row r="65" spans="1:11" ht="12.75">
      <c r="A65" s="4" t="s">
        <v>923</v>
      </c>
      <c r="B65" s="25" t="str">
        <f>TRIM(RefStr!N19)</f>
        <v>HSFI</v>
      </c>
      <c r="D65" s="4" t="s">
        <v>554</v>
      </c>
      <c r="E65" s="4">
        <v>1</v>
      </c>
      <c r="F65" s="4">
        <f>Bilanca!G72</f>
        <v>64</v>
      </c>
      <c r="G65" s="4">
        <f>IF(Bilanca!H72=0,"",Bilanca!H72)</f>
      </c>
      <c r="H65" s="26">
        <f t="shared" si="2"/>
        <v>291.84</v>
      </c>
      <c r="I65" s="27">
        <f t="shared" si="3"/>
        <v>0</v>
      </c>
      <c r="J65" s="27">
        <f>Bilanca!I72</f>
        <v>456</v>
      </c>
      <c r="K65" s="27">
        <f>Bilanca!J72</f>
        <v>0</v>
      </c>
    </row>
    <row r="66" spans="1:11" ht="12.75">
      <c r="A66" s="4" t="s">
        <v>924</v>
      </c>
      <c r="B66" s="25">
        <f>RefStr!C23</f>
        <v>1</v>
      </c>
      <c r="D66" s="4" t="s">
        <v>554</v>
      </c>
      <c r="E66" s="4">
        <v>1</v>
      </c>
      <c r="F66" s="4">
        <f>Bilanca!G73</f>
        <v>65</v>
      </c>
      <c r="G66" s="4">
        <f>IF(Bilanca!H73=0,"",Bilanca!H73)</f>
      </c>
      <c r="H66" s="26">
        <f t="shared" si="2"/>
        <v>335481926.65</v>
      </c>
      <c r="I66" s="27">
        <f t="shared" si="3"/>
        <v>0</v>
      </c>
      <c r="J66" s="27">
        <f>Bilanca!I73</f>
        <v>174955203</v>
      </c>
      <c r="K66" s="27">
        <f>Bilanca!J73</f>
        <v>170585419</v>
      </c>
    </row>
    <row r="67" spans="1:11" ht="12.75">
      <c r="A67" s="4" t="s">
        <v>925</v>
      </c>
      <c r="B67" s="25" t="str">
        <f>TRIM(RefStr!L35)</f>
        <v>047/532-033</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41250774.4</v>
      </c>
      <c r="I68" s="27">
        <f t="shared" si="3"/>
        <v>0</v>
      </c>
      <c r="J68" s="27">
        <f>Bilanca!I76</f>
        <v>20913684</v>
      </c>
      <c r="K68" s="27">
        <f>Bilanca!J76</f>
        <v>20327318</v>
      </c>
    </row>
    <row r="69" spans="1:11" ht="12.75">
      <c r="A69" s="4" t="s">
        <v>927</v>
      </c>
      <c r="B69" s="25">
        <f>TRIM(RefStr!M46)</f>
      </c>
      <c r="D69" s="4" t="s">
        <v>554</v>
      </c>
      <c r="E69" s="4">
        <v>1</v>
      </c>
      <c r="F69" s="4">
        <f>Bilanca!G77</f>
        <v>68</v>
      </c>
      <c r="G69" s="4" t="str">
        <f>IF(Bilanca!H77=0,"",Bilanca!H77)</f>
        <v>5</v>
      </c>
      <c r="H69" s="26">
        <f t="shared" si="2"/>
        <v>4204032</v>
      </c>
      <c r="I69" s="27">
        <f t="shared" si="3"/>
        <v>0</v>
      </c>
      <c r="J69" s="27">
        <f>Bilanca!I77</f>
        <v>2060800</v>
      </c>
      <c r="K69" s="27">
        <f>Bilanca!J77</f>
        <v>2060800</v>
      </c>
    </row>
    <row r="70" spans="1:11" ht="12.75">
      <c r="A70" s="4" t="s">
        <v>928</v>
      </c>
      <c r="B70" s="25">
        <f>RefStr!C46</f>
        <v>0</v>
      </c>
      <c r="D70" s="4" t="s">
        <v>554</v>
      </c>
      <c r="E70" s="4">
        <v>1</v>
      </c>
      <c r="F70" s="4">
        <f>Bilanca!G78</f>
        <v>69</v>
      </c>
      <c r="G70" s="4" t="str">
        <f>IF(Bilanca!H78=0,"",Bilanca!H78)</f>
        <v>6</v>
      </c>
      <c r="H70" s="26">
        <f t="shared" si="2"/>
        <v>22319137.439999998</v>
      </c>
      <c r="I70" s="27">
        <f t="shared" si="3"/>
        <v>0</v>
      </c>
      <c r="J70" s="27">
        <f>Bilanca!I78</f>
        <v>10782192</v>
      </c>
      <c r="K70" s="27">
        <f>Bilanca!J78</f>
        <v>10782192</v>
      </c>
    </row>
    <row r="71" spans="4:11" ht="12.75">
      <c r="D71" s="4" t="s">
        <v>554</v>
      </c>
      <c r="E71" s="4">
        <v>1</v>
      </c>
      <c r="F71" s="4">
        <f>Bilanca!G79</f>
        <v>70</v>
      </c>
      <c r="G71" s="4" t="str">
        <f>IF(Bilanca!H79=0,"",Bilanca!H79)</f>
        <v>7</v>
      </c>
      <c r="H71" s="26">
        <f t="shared" si="2"/>
        <v>1712955.2999999998</v>
      </c>
      <c r="I71" s="27">
        <f t="shared" si="3"/>
        <v>0</v>
      </c>
      <c r="J71" s="27">
        <f>Bilanca!I79</f>
        <v>815693</v>
      </c>
      <c r="K71" s="27">
        <f>Bilanca!J79</f>
        <v>815693</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t="str">
        <f>IF(Bilanca!H83=0,"",Bilanca!H83)</f>
        <v>7</v>
      </c>
      <c r="H75" s="26">
        <f t="shared" si="2"/>
        <v>1810838.4600000002</v>
      </c>
      <c r="I75" s="27">
        <f t="shared" si="3"/>
        <v>0</v>
      </c>
      <c r="J75" s="27">
        <f>Bilanca!I83</f>
        <v>815693</v>
      </c>
      <c r="K75" s="27">
        <f>Bilanca!J83</f>
        <v>815693</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t="str">
        <f>IF(Bilanca!H85=0,"",Bilanca!H85)</f>
        <v>8</v>
      </c>
      <c r="H77" s="26">
        <f t="shared" si="2"/>
        <v>8697737.16</v>
      </c>
      <c r="I77" s="27">
        <f t="shared" si="3"/>
        <v>0</v>
      </c>
      <c r="J77" s="27">
        <f>Bilanca!I85</f>
        <v>3814797</v>
      </c>
      <c r="K77" s="27">
        <f>Bilanca!J85</f>
        <v>3814797</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t="str">
        <f>IF(Bilanca!H92=0,"",Bilanca!H92)</f>
        <v>9</v>
      </c>
      <c r="H84" s="26">
        <f t="shared" si="2"/>
        <v>8186972.260000001</v>
      </c>
      <c r="I84" s="27">
        <f t="shared" si="3"/>
        <v>0</v>
      </c>
      <c r="J84" s="27">
        <f>Bilanca!I92</f>
        <v>3379614</v>
      </c>
      <c r="K84" s="27">
        <f>Bilanca!J92</f>
        <v>3242104</v>
      </c>
    </row>
    <row r="85" spans="4:11" ht="12.75">
      <c r="D85" s="4" t="s">
        <v>554</v>
      </c>
      <c r="E85" s="4">
        <v>1</v>
      </c>
      <c r="F85" s="4">
        <f>Bilanca!G93</f>
        <v>84</v>
      </c>
      <c r="G85" s="4" t="str">
        <f>IF(Bilanca!H93=0,"",Bilanca!H93)</f>
        <v>9</v>
      </c>
      <c r="H85" s="26">
        <f t="shared" si="2"/>
        <v>8285610.4799999995</v>
      </c>
      <c r="I85" s="27">
        <f t="shared" si="3"/>
        <v>0</v>
      </c>
      <c r="J85" s="27">
        <f>Bilanca!I93</f>
        <v>3379614</v>
      </c>
      <c r="K85" s="27">
        <f>Bilanca!J93</f>
        <v>3242104</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t="str">
        <f>IF(Bilanca!H95=0,"",Bilanca!H95)</f>
        <v>10</v>
      </c>
      <c r="H87" s="26">
        <f>J87/100*F87+2*K87/100*F87</f>
        <v>-615715.2799999999</v>
      </c>
      <c r="I87" s="27">
        <f>ABS(ROUND(J87,0)-J87)+ABS(ROUND(K87,0)-K87)</f>
        <v>0</v>
      </c>
      <c r="J87" s="27">
        <f>Bilanca!I95</f>
        <v>60588</v>
      </c>
      <c r="K87" s="27">
        <f>Bilanca!J95</f>
        <v>-388268</v>
      </c>
    </row>
    <row r="88" spans="4:11" ht="12.75">
      <c r="D88" s="4" t="s">
        <v>554</v>
      </c>
      <c r="E88" s="4">
        <v>1</v>
      </c>
      <c r="F88" s="4">
        <f>Bilanca!G96</f>
        <v>87</v>
      </c>
      <c r="G88" s="4" t="str">
        <f>IF(Bilanca!H96=0,"",Bilanca!H96)</f>
        <v>10</v>
      </c>
      <c r="H88" s="26">
        <f>J88/100*F88+2*K88/100*F88</f>
        <v>52711.56</v>
      </c>
      <c r="I88" s="27">
        <f>ABS(ROUND(J88,0)-J88)+ABS(ROUND(K88,0)-K88)</f>
        <v>0</v>
      </c>
      <c r="J88" s="27">
        <f>Bilanca!I96</f>
        <v>60588</v>
      </c>
      <c r="K88" s="27">
        <f>Bilanca!J96</f>
        <v>0</v>
      </c>
    </row>
    <row r="89" spans="4:11" ht="12.75">
      <c r="D89" s="4" t="s">
        <v>554</v>
      </c>
      <c r="E89" s="4">
        <v>1</v>
      </c>
      <c r="F89" s="4">
        <f>Bilanca!G97</f>
        <v>88</v>
      </c>
      <c r="G89" s="4">
        <f>IF(Bilanca!H97=0,"",Bilanca!H97)</f>
      </c>
      <c r="H89" s="26">
        <f aca="true" t="shared" si="4" ref="H89:H129">J89/100*F89+2*K89/100*F89</f>
        <v>683351.6799999999</v>
      </c>
      <c r="I89" s="27">
        <f aca="true" t="shared" si="5" ref="I89:I129">ABS(ROUND(J89,0)-J89)+ABS(ROUND(K89,0)-K89)</f>
        <v>0</v>
      </c>
      <c r="J89" s="27">
        <f>Bilanca!I97</f>
        <v>0</v>
      </c>
      <c r="K89" s="27">
        <f>Bilanca!J97</f>
        <v>388268</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t="str">
        <f>IF(Bilanca!H99=0,"",Bilanca!H99)</f>
        <v>11</v>
      </c>
      <c r="H91" s="26">
        <f t="shared" si="4"/>
        <v>157333.5</v>
      </c>
      <c r="I91" s="27">
        <f t="shared" si="5"/>
        <v>0</v>
      </c>
      <c r="J91" s="27">
        <f>Bilanca!I99</f>
        <v>91055</v>
      </c>
      <c r="K91" s="27">
        <f>Bilanca!J99</f>
        <v>41880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t="str">
        <f>IF(Bilanca!H102=0,"",Bilanca!H102)</f>
        <v>11</v>
      </c>
      <c r="H94" s="26">
        <f t="shared" si="4"/>
        <v>162577.95</v>
      </c>
      <c r="I94" s="27">
        <f t="shared" si="5"/>
        <v>0</v>
      </c>
      <c r="J94" s="27">
        <f>Bilanca!I102</f>
        <v>91055</v>
      </c>
      <c r="K94" s="27">
        <f>Bilanca!J102</f>
        <v>41880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1272231.6300000001</v>
      </c>
      <c r="I98" s="27">
        <f t="shared" si="5"/>
        <v>0</v>
      </c>
      <c r="J98" s="27">
        <f>Bilanca!I106</f>
        <v>1311579</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1350926.37</v>
      </c>
      <c r="I104" s="27">
        <f t="shared" si="5"/>
        <v>0</v>
      </c>
      <c r="J104" s="27">
        <f>Bilanca!I112</f>
        <v>1311579</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t="str">
        <f>IF(Bilanca!H118=0,"",Bilanca!H118)</f>
        <v>12</v>
      </c>
      <c r="H110" s="26">
        <f t="shared" si="4"/>
        <v>7452153.42</v>
      </c>
      <c r="I110" s="27">
        <f t="shared" si="5"/>
        <v>0</v>
      </c>
      <c r="J110" s="27">
        <f>Bilanca!I118</f>
        <v>1700774</v>
      </c>
      <c r="K110" s="27">
        <f>Bilanca!J118</f>
        <v>2568032</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t="str">
        <f>IF(Bilanca!H123=0,"",Bilanca!H123)</f>
        <v>12</v>
      </c>
      <c r="H115" s="26">
        <f t="shared" si="4"/>
        <v>11400</v>
      </c>
      <c r="I115" s="27">
        <f t="shared" si="5"/>
        <v>0</v>
      </c>
      <c r="J115" s="27">
        <f>Bilanca!I123</f>
        <v>10000</v>
      </c>
      <c r="K115" s="27">
        <f>Bilanca!J123</f>
        <v>0</v>
      </c>
    </row>
    <row r="116" spans="4:11" ht="12.75">
      <c r="D116" s="4" t="s">
        <v>554</v>
      </c>
      <c r="E116" s="4">
        <v>1</v>
      </c>
      <c r="F116" s="4">
        <f>Bilanca!G124</f>
        <v>115</v>
      </c>
      <c r="G116" s="4">
        <f>IF(Bilanca!H124=0,"",Bilanca!H124)</f>
      </c>
      <c r="H116" s="26">
        <f t="shared" si="4"/>
        <v>1458540.4</v>
      </c>
      <c r="I116" s="27">
        <f t="shared" si="5"/>
        <v>0</v>
      </c>
      <c r="J116" s="27">
        <f>Bilanca!I124</f>
        <v>0</v>
      </c>
      <c r="K116" s="27">
        <f>Bilanca!J124</f>
        <v>634148</v>
      </c>
    </row>
    <row r="117" spans="4:11" ht="12.75">
      <c r="D117" s="4" t="s">
        <v>554</v>
      </c>
      <c r="E117" s="4">
        <v>1</v>
      </c>
      <c r="F117" s="4">
        <f>Bilanca!G125</f>
        <v>116</v>
      </c>
      <c r="G117" s="4" t="str">
        <f>IF(Bilanca!H125=0,"",Bilanca!H125)</f>
        <v>12</v>
      </c>
      <c r="H117" s="26">
        <f t="shared" si="4"/>
        <v>225813.72000000003</v>
      </c>
      <c r="I117" s="27">
        <f t="shared" si="5"/>
        <v>0</v>
      </c>
      <c r="J117" s="27">
        <f>Bilanca!I125</f>
        <v>57877</v>
      </c>
      <c r="K117" s="27">
        <f>Bilanca!J125</f>
        <v>68395</v>
      </c>
    </row>
    <row r="118" spans="4:11" ht="12.75">
      <c r="D118" s="4" t="s">
        <v>554</v>
      </c>
      <c r="E118" s="4">
        <v>1</v>
      </c>
      <c r="F118" s="4">
        <f>Bilanca!G126</f>
        <v>117</v>
      </c>
      <c r="G118" s="4" t="str">
        <f>IF(Bilanca!H126=0,"",Bilanca!H126)</f>
        <v>12</v>
      </c>
      <c r="H118" s="26">
        <f t="shared" si="4"/>
        <v>2661046.83</v>
      </c>
      <c r="I118" s="27">
        <f t="shared" si="5"/>
        <v>0</v>
      </c>
      <c r="J118" s="27">
        <f>Bilanca!I126</f>
        <v>759573</v>
      </c>
      <c r="K118" s="27">
        <f>Bilanca!J126</f>
        <v>757413</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t="str">
        <f>IF(Bilanca!H128=0,"",Bilanca!H128)</f>
        <v>12</v>
      </c>
      <c r="H120" s="26">
        <f t="shared" si="4"/>
        <v>622059.41</v>
      </c>
      <c r="I120" s="27">
        <f t="shared" si="5"/>
        <v>0</v>
      </c>
      <c r="J120" s="27">
        <f>Bilanca!I128</f>
        <v>190707</v>
      </c>
      <c r="K120" s="27">
        <f>Bilanca!J128</f>
        <v>166016</v>
      </c>
    </row>
    <row r="121" spans="4:11" ht="12.75">
      <c r="D121" s="4" t="s">
        <v>554</v>
      </c>
      <c r="E121" s="4">
        <v>1</v>
      </c>
      <c r="F121" s="4">
        <f>Bilanca!G129</f>
        <v>120</v>
      </c>
      <c r="G121" s="4" t="str">
        <f>IF(Bilanca!H129=0,"",Bilanca!H129)</f>
        <v>12</v>
      </c>
      <c r="H121" s="26">
        <f t="shared" si="4"/>
        <v>322462.8</v>
      </c>
      <c r="I121" s="27">
        <f t="shared" si="5"/>
        <v>0</v>
      </c>
      <c r="J121" s="27">
        <f>Bilanca!I129</f>
        <v>101395</v>
      </c>
      <c r="K121" s="27">
        <f>Bilanca!J129</f>
        <v>83662</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t="str">
        <f>IF(Bilanca!H132=0,"",Bilanca!H132)</f>
        <v>12</v>
      </c>
      <c r="H124" s="26">
        <f t="shared" si="4"/>
        <v>2826562.14</v>
      </c>
      <c r="I124" s="27">
        <f t="shared" si="5"/>
        <v>0</v>
      </c>
      <c r="J124" s="27">
        <f>Bilanca!I132</f>
        <v>581222</v>
      </c>
      <c r="K124" s="27">
        <f>Bilanca!J132</f>
        <v>858398</v>
      </c>
    </row>
    <row r="125" spans="4:11" ht="12.75">
      <c r="D125" s="4" t="s">
        <v>554</v>
      </c>
      <c r="E125" s="4">
        <v>1</v>
      </c>
      <c r="F125" s="4">
        <f>Bilanca!G133</f>
        <v>124</v>
      </c>
      <c r="G125" s="4" t="str">
        <f>IF(Bilanca!H133=0,"",Bilanca!H133)</f>
        <v>13</v>
      </c>
      <c r="H125" s="26">
        <f t="shared" si="4"/>
        <v>553330766.36</v>
      </c>
      <c r="I125" s="27">
        <f t="shared" si="5"/>
        <v>0</v>
      </c>
      <c r="J125" s="27">
        <f>Bilanca!I133</f>
        <v>150938111</v>
      </c>
      <c r="K125" s="27">
        <f>Bilanca!J133</f>
        <v>147648189</v>
      </c>
    </row>
    <row r="126" spans="4:11" ht="12.75">
      <c r="D126" s="4" t="s">
        <v>554</v>
      </c>
      <c r="E126" s="4">
        <v>1</v>
      </c>
      <c r="F126" s="4">
        <f>Bilanca!G134</f>
        <v>125</v>
      </c>
      <c r="G126" s="4">
        <f>IF(Bilanca!H134=0,"",Bilanca!H134)</f>
      </c>
      <c r="H126" s="26">
        <f t="shared" si="4"/>
        <v>645157551.25</v>
      </c>
      <c r="I126" s="27">
        <f t="shared" si="5"/>
        <v>0</v>
      </c>
      <c r="J126" s="27">
        <f>Bilanca!I134</f>
        <v>174955203</v>
      </c>
      <c r="K126" s="27">
        <f>Bilanca!J134</f>
        <v>170585419</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80849692.25</v>
      </c>
      <c r="I128" s="4">
        <f t="shared" si="5"/>
        <v>0</v>
      </c>
      <c r="J128" s="27">
        <f>RDG!I8</f>
        <v>19476149</v>
      </c>
      <c r="K128" s="27">
        <f>RDG!J8</f>
        <v>22092513</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t="str">
        <f>IF(RDG!H10=0,"",RDG!H10)</f>
        <v>1</v>
      </c>
      <c r="H130" s="26">
        <f aca="true" t="shared" si="6" ref="H130:H192">J130/100*F130+2*K130/100*F130</f>
        <v>45019297.199999996</v>
      </c>
      <c r="I130" s="4">
        <f aca="true" t="shared" si="7" ref="I130:I192">ABS(ROUND(J130,0)-J130)+ABS(ROUND(K130,0)-K130)</f>
        <v>0</v>
      </c>
      <c r="J130" s="27">
        <f>RDG!I10</f>
        <v>11390894</v>
      </c>
      <c r="K130" s="27">
        <f>RDG!J10</f>
        <v>11753893</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t="str">
        <f>IF(RDG!H13=0,"",RDG!H13)</f>
        <v>2</v>
      </c>
      <c r="H133" s="26">
        <f t="shared" si="6"/>
        <v>37966493.4</v>
      </c>
      <c r="I133" s="4">
        <f t="shared" si="7"/>
        <v>0</v>
      </c>
      <c r="J133" s="27">
        <f>RDG!I13</f>
        <v>8085255</v>
      </c>
      <c r="K133" s="27">
        <f>RDG!J13</f>
        <v>10338620</v>
      </c>
    </row>
    <row r="134" spans="4:11" ht="12.75">
      <c r="D134" s="4" t="s">
        <v>794</v>
      </c>
      <c r="E134" s="4">
        <v>2</v>
      </c>
      <c r="F134" s="4">
        <f>RDG!G14</f>
        <v>133</v>
      </c>
      <c r="G134" s="4">
        <f>IF(RDG!H14=0,"",RDG!H14)</f>
      </c>
      <c r="H134" s="26">
        <f t="shared" si="6"/>
        <v>89045510.96000001</v>
      </c>
      <c r="I134" s="4">
        <f t="shared" si="7"/>
        <v>0</v>
      </c>
      <c r="J134" s="27">
        <f>RDG!I14</f>
        <v>19883462</v>
      </c>
      <c r="K134" s="27">
        <f>RDG!J14</f>
        <v>23534025</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t="str">
        <f>IF(RDG!H16=0,"",RDG!H16)</f>
        <v>3</v>
      </c>
      <c r="H136" s="26">
        <f t="shared" si="6"/>
        <v>21897869.4</v>
      </c>
      <c r="I136" s="4">
        <f t="shared" si="7"/>
        <v>0</v>
      </c>
      <c r="J136" s="27">
        <f>RDG!I16</f>
        <v>4156380</v>
      </c>
      <c r="K136" s="27">
        <f>RDG!J16</f>
        <v>6032132</v>
      </c>
    </row>
    <row r="137" spans="4:11" ht="12.75">
      <c r="D137" s="4" t="s">
        <v>794</v>
      </c>
      <c r="E137" s="4">
        <v>2</v>
      </c>
      <c r="F137" s="4">
        <f>RDG!G17</f>
        <v>136</v>
      </c>
      <c r="G137" s="4" t="str">
        <f>IF(RDG!H17=0,"",RDG!H17)</f>
        <v>3</v>
      </c>
      <c r="H137" s="26">
        <f t="shared" si="6"/>
        <v>10220066.8</v>
      </c>
      <c r="I137" s="4">
        <f t="shared" si="7"/>
        <v>0</v>
      </c>
      <c r="J137" s="27">
        <f>RDG!I17</f>
        <v>2431879</v>
      </c>
      <c r="K137" s="27">
        <f>RDG!J17</f>
        <v>2541438</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t="str">
        <f>IF(RDG!H19=0,"",RDG!H19)</f>
        <v>3</v>
      </c>
      <c r="H139" s="26">
        <f t="shared" si="6"/>
        <v>12014126.82</v>
      </c>
      <c r="I139" s="4">
        <f t="shared" si="7"/>
        <v>0</v>
      </c>
      <c r="J139" s="27">
        <f>RDG!I19</f>
        <v>1724501</v>
      </c>
      <c r="K139" s="27">
        <f>RDG!J19</f>
        <v>3490694</v>
      </c>
    </row>
    <row r="140" spans="4:11" ht="12.75">
      <c r="D140" s="4" t="s">
        <v>794</v>
      </c>
      <c r="E140" s="4">
        <v>2</v>
      </c>
      <c r="F140" s="4">
        <f>RDG!G20</f>
        <v>139</v>
      </c>
      <c r="G140" s="4" t="str">
        <f>IF(RDG!H20=0,"",RDG!H20)</f>
        <v>4</v>
      </c>
      <c r="H140" s="26">
        <f t="shared" si="6"/>
        <v>24350803.96</v>
      </c>
      <c r="I140" s="4">
        <f t="shared" si="7"/>
        <v>0</v>
      </c>
      <c r="J140" s="27">
        <f>RDG!I20</f>
        <v>5447634</v>
      </c>
      <c r="K140" s="27">
        <f>RDG!J20</f>
        <v>6035465</v>
      </c>
    </row>
    <row r="141" spans="4:11" ht="12.75">
      <c r="D141" s="4" t="s">
        <v>794</v>
      </c>
      <c r="E141" s="4">
        <v>2</v>
      </c>
      <c r="F141" s="4">
        <f>RDG!G21</f>
        <v>140</v>
      </c>
      <c r="G141" s="4" t="str">
        <f>IF(RDG!H21=0,"",RDG!H21)</f>
        <v>4</v>
      </c>
      <c r="H141" s="26">
        <f t="shared" si="6"/>
        <v>15708602</v>
      </c>
      <c r="I141" s="4">
        <f t="shared" si="7"/>
        <v>0</v>
      </c>
      <c r="J141" s="27">
        <f>RDG!I21</f>
        <v>3493750</v>
      </c>
      <c r="K141" s="27">
        <f>RDG!J21</f>
        <v>3863340</v>
      </c>
    </row>
    <row r="142" spans="4:11" ht="12.75">
      <c r="D142" s="4" t="s">
        <v>794</v>
      </c>
      <c r="E142" s="4">
        <v>2</v>
      </c>
      <c r="F142" s="4">
        <f>RDG!G22</f>
        <v>141</v>
      </c>
      <c r="G142" s="4" t="str">
        <f>IF(RDG!H22=0,"",RDG!H22)</f>
        <v>4</v>
      </c>
      <c r="H142" s="26">
        <f t="shared" si="6"/>
        <v>5310089.609999999</v>
      </c>
      <c r="I142" s="4">
        <f t="shared" si="7"/>
        <v>0</v>
      </c>
      <c r="J142" s="27">
        <f>RDG!I22</f>
        <v>1172979</v>
      </c>
      <c r="K142" s="27">
        <f>RDG!J22</f>
        <v>1296521</v>
      </c>
    </row>
    <row r="143" spans="4:11" ht="12.75">
      <c r="D143" s="4" t="s">
        <v>794</v>
      </c>
      <c r="E143" s="4">
        <v>2</v>
      </c>
      <c r="F143" s="4">
        <f>RDG!G23</f>
        <v>142</v>
      </c>
      <c r="G143" s="4" t="str">
        <f>IF(RDG!H23=0,"",RDG!H23)</f>
        <v>4</v>
      </c>
      <c r="H143" s="26">
        <f t="shared" si="6"/>
        <v>3595600.4600000004</v>
      </c>
      <c r="I143" s="4">
        <f t="shared" si="7"/>
        <v>0</v>
      </c>
      <c r="J143" s="27">
        <f>RDG!I23</f>
        <v>780905</v>
      </c>
      <c r="K143" s="27">
        <f>RDG!J23</f>
        <v>875604</v>
      </c>
    </row>
    <row r="144" spans="4:11" ht="12.75">
      <c r="D144" s="4" t="s">
        <v>794</v>
      </c>
      <c r="E144" s="4">
        <v>2</v>
      </c>
      <c r="F144" s="4">
        <f>RDG!G24</f>
        <v>143</v>
      </c>
      <c r="G144" s="4" t="str">
        <f>IF(RDG!H24=0,"",RDG!H24)</f>
        <v>5</v>
      </c>
      <c r="H144" s="26">
        <f t="shared" si="6"/>
        <v>36572843.45</v>
      </c>
      <c r="I144" s="4">
        <f t="shared" si="7"/>
        <v>0</v>
      </c>
      <c r="J144" s="27">
        <f>RDG!I24</f>
        <v>8038685</v>
      </c>
      <c r="K144" s="27">
        <f>RDG!J24</f>
        <v>8768365</v>
      </c>
    </row>
    <row r="145" spans="4:11" ht="12.75">
      <c r="D145" s="4" t="s">
        <v>794</v>
      </c>
      <c r="E145" s="4">
        <v>2</v>
      </c>
      <c r="F145" s="4">
        <f>RDG!G25</f>
        <v>144</v>
      </c>
      <c r="G145" s="4" t="str">
        <f>IF(RDG!H25=0,"",RDG!H25)</f>
        <v>6</v>
      </c>
      <c r="H145" s="26">
        <f t="shared" si="6"/>
        <v>10486421.28</v>
      </c>
      <c r="I145" s="4">
        <f t="shared" si="7"/>
        <v>0</v>
      </c>
      <c r="J145" s="27">
        <f>RDG!I25</f>
        <v>2136177</v>
      </c>
      <c r="K145" s="27">
        <f>RDG!J25</f>
        <v>2573030</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t="str">
        <f>IF(RDG!H36=0,"",RDG!H36)</f>
        <v>7</v>
      </c>
      <c r="H156" s="26">
        <f t="shared" si="6"/>
        <v>549710.6</v>
      </c>
      <c r="I156" s="4">
        <f t="shared" si="7"/>
        <v>0</v>
      </c>
      <c r="J156" s="27">
        <f>RDG!I36</f>
        <v>104586</v>
      </c>
      <c r="K156" s="27">
        <f>RDG!J36</f>
        <v>125033</v>
      </c>
    </row>
    <row r="157" spans="4:11" ht="12.75">
      <c r="D157" s="4" t="s">
        <v>794</v>
      </c>
      <c r="E157" s="4">
        <v>2</v>
      </c>
      <c r="F157" s="4">
        <f>RDG!G37</f>
        <v>156</v>
      </c>
      <c r="G157" s="4" t="str">
        <f>IF(RDG!H37=0,"",RDG!H37)</f>
        <v>8</v>
      </c>
      <c r="H157" s="26">
        <f t="shared" si="6"/>
        <v>4268805.84</v>
      </c>
      <c r="I157" s="4">
        <f t="shared" si="7"/>
        <v>0</v>
      </c>
      <c r="J157" s="27">
        <f>RDG!I37</f>
        <v>491428</v>
      </c>
      <c r="K157" s="27">
        <f>RDG!J37</f>
        <v>1122493</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t="str">
        <f>IF(RDG!H44=0,"",RDG!H44)</f>
        <v>8</v>
      </c>
      <c r="H164" s="26">
        <f t="shared" si="6"/>
        <v>425350.13</v>
      </c>
      <c r="I164" s="4">
        <f t="shared" si="7"/>
        <v>0</v>
      </c>
      <c r="J164" s="27">
        <f>RDG!I44</f>
        <v>55089</v>
      </c>
      <c r="K164" s="27">
        <f>RDG!J44</f>
        <v>102931</v>
      </c>
    </row>
    <row r="165" spans="4:11" ht="12.75">
      <c r="D165" s="4" t="s">
        <v>794</v>
      </c>
      <c r="E165" s="4">
        <v>2</v>
      </c>
      <c r="F165" s="4">
        <f>RDG!G45</f>
        <v>164</v>
      </c>
      <c r="G165" s="4">
        <f>IF(RDG!H45=0,"",RDG!H45)</f>
      </c>
      <c r="H165" s="26">
        <f t="shared" si="6"/>
        <v>7052</v>
      </c>
      <c r="I165" s="4">
        <f t="shared" si="7"/>
        <v>0</v>
      </c>
      <c r="J165" s="27">
        <f>RDG!I45</f>
        <v>0</v>
      </c>
      <c r="K165" s="27">
        <f>RDG!J45</f>
        <v>2150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t="str">
        <f>IF(RDG!H47=0,"",RDG!H47)</f>
        <v>8</v>
      </c>
      <c r="H167" s="26">
        <f t="shared" si="6"/>
        <v>4102130.5800000005</v>
      </c>
      <c r="I167" s="4">
        <f t="shared" si="7"/>
        <v>0</v>
      </c>
      <c r="J167" s="27">
        <f>RDG!I47</f>
        <v>436339</v>
      </c>
      <c r="K167" s="27">
        <f>RDG!J47</f>
        <v>1017412</v>
      </c>
    </row>
    <row r="168" spans="4:11" ht="12.75">
      <c r="D168" s="4" t="s">
        <v>794</v>
      </c>
      <c r="E168" s="4">
        <v>2</v>
      </c>
      <c r="F168" s="4">
        <f>RDG!G48</f>
        <v>167</v>
      </c>
      <c r="G168" s="4" t="str">
        <f>IF(RDG!H48=0,"",RDG!H48)</f>
        <v>9</v>
      </c>
      <c r="H168" s="26">
        <f t="shared" si="6"/>
        <v>236996.38</v>
      </c>
      <c r="I168" s="4">
        <f t="shared" si="7"/>
        <v>0</v>
      </c>
      <c r="J168" s="27">
        <f>RDG!I48</f>
        <v>3414</v>
      </c>
      <c r="K168" s="27">
        <f>RDG!J48</f>
        <v>69250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t="str">
        <f>IF(RDG!H51=0,"",RDG!H51)</f>
        <v>9</v>
      </c>
      <c r="H171" s="26">
        <f t="shared" si="6"/>
        <v>147435.90000000002</v>
      </c>
      <c r="I171" s="4">
        <f t="shared" si="7"/>
        <v>0</v>
      </c>
      <c r="J171" s="27">
        <f>RDG!I51</f>
        <v>2143</v>
      </c>
      <c r="K171" s="27">
        <f>RDG!J51</f>
        <v>42292</v>
      </c>
    </row>
    <row r="172" spans="4:11" ht="12.75">
      <c r="D172" s="4" t="s">
        <v>794</v>
      </c>
      <c r="E172" s="4">
        <v>2</v>
      </c>
      <c r="F172" s="4">
        <f>RDG!G52</f>
        <v>171</v>
      </c>
      <c r="G172" s="4" t="str">
        <f>IF(RDG!H52=0,"",RDG!H52)</f>
        <v>9</v>
      </c>
      <c r="H172" s="26">
        <f t="shared" si="6"/>
        <v>94369.77</v>
      </c>
      <c r="I172" s="4">
        <f t="shared" si="7"/>
        <v>0</v>
      </c>
      <c r="J172" s="27">
        <f>RDG!I52</f>
        <v>1271</v>
      </c>
      <c r="K172" s="27">
        <f>RDG!J52</f>
        <v>26958</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118851684.31</v>
      </c>
      <c r="I180" s="4">
        <f t="shared" si="7"/>
        <v>0</v>
      </c>
      <c r="J180" s="27">
        <f>RDG!I60</f>
        <v>19967577</v>
      </c>
      <c r="K180" s="27">
        <f>RDG!J60</f>
        <v>23215006</v>
      </c>
    </row>
    <row r="181" spans="4:11" ht="12.75">
      <c r="D181" s="4" t="s">
        <v>794</v>
      </c>
      <c r="E181" s="4">
        <v>2</v>
      </c>
      <c r="F181" s="4">
        <f>RDG!G61</f>
        <v>180</v>
      </c>
      <c r="G181" s="4">
        <f>IF(RDG!H61=0,"",RDG!H61)</f>
      </c>
      <c r="H181" s="26">
        <f t="shared" si="6"/>
        <v>120768166.80000001</v>
      </c>
      <c r="I181" s="4">
        <f t="shared" si="7"/>
        <v>0</v>
      </c>
      <c r="J181" s="27">
        <f>RDG!I61</f>
        <v>19886876</v>
      </c>
      <c r="K181" s="27">
        <f>RDG!J61</f>
        <v>23603275</v>
      </c>
    </row>
    <row r="182" spans="4:11" ht="12.75">
      <c r="D182" s="4" t="s">
        <v>794</v>
      </c>
      <c r="E182" s="4">
        <v>2</v>
      </c>
      <c r="F182" s="4">
        <f>RDG!G62</f>
        <v>181</v>
      </c>
      <c r="G182" s="4" t="str">
        <f>IF(RDG!H62=0,"",RDG!H62)</f>
        <v>10</v>
      </c>
      <c r="H182" s="26">
        <f t="shared" si="6"/>
        <v>-1259464.97</v>
      </c>
      <c r="I182" s="4">
        <f t="shared" si="7"/>
        <v>0</v>
      </c>
      <c r="J182" s="27">
        <f>RDG!I62</f>
        <v>80701</v>
      </c>
      <c r="K182" s="27">
        <f>RDG!J62</f>
        <v>-388269</v>
      </c>
    </row>
    <row r="183" spans="4:11" ht="12.75">
      <c r="D183" s="4" t="s">
        <v>794</v>
      </c>
      <c r="E183" s="4">
        <v>2</v>
      </c>
      <c r="F183" s="4">
        <f>RDG!G63</f>
        <v>182</v>
      </c>
      <c r="G183" s="4">
        <f>IF(RDG!H63=0,"",RDG!H63)</f>
      </c>
      <c r="H183" s="26">
        <f t="shared" si="6"/>
        <v>146875.82</v>
      </c>
      <c r="I183" s="4">
        <f t="shared" si="7"/>
        <v>0</v>
      </c>
      <c r="J183" s="27">
        <f>RDG!I63</f>
        <v>80701</v>
      </c>
      <c r="K183" s="27">
        <f>RDG!J63</f>
        <v>0</v>
      </c>
    </row>
    <row r="184" spans="4:11" ht="12.75">
      <c r="D184" s="4" t="s">
        <v>794</v>
      </c>
      <c r="E184" s="4">
        <v>2</v>
      </c>
      <c r="F184" s="4">
        <f>RDG!G64</f>
        <v>183</v>
      </c>
      <c r="G184" s="4">
        <f>IF(RDG!H64=0,"",RDG!H64)</f>
      </c>
      <c r="H184" s="26">
        <f t="shared" si="6"/>
        <v>1421064.54</v>
      </c>
      <c r="I184" s="4">
        <f t="shared" si="7"/>
        <v>0</v>
      </c>
      <c r="J184" s="27">
        <f>RDG!I64</f>
        <v>0</v>
      </c>
      <c r="K184" s="27">
        <f>RDG!J64</f>
        <v>388269</v>
      </c>
    </row>
    <row r="185" spans="4:11" ht="12.75">
      <c r="D185" s="4" t="s">
        <v>794</v>
      </c>
      <c r="E185" s="4">
        <v>2</v>
      </c>
      <c r="F185" s="4">
        <f>RDG!G65</f>
        <v>184</v>
      </c>
      <c r="G185" s="4">
        <f>IF(RDG!H65=0,"",RDG!H65)</f>
      </c>
      <c r="H185" s="26">
        <f t="shared" si="6"/>
        <v>37007.92</v>
      </c>
      <c r="I185" s="4">
        <f t="shared" si="7"/>
        <v>0</v>
      </c>
      <c r="J185" s="27">
        <f>RDG!I65</f>
        <v>20113</v>
      </c>
      <c r="K185" s="27">
        <f>RDG!J65</f>
        <v>0</v>
      </c>
    </row>
    <row r="186" spans="4:11" ht="12.75">
      <c r="D186" s="4" t="s">
        <v>794</v>
      </c>
      <c r="E186" s="4">
        <v>2</v>
      </c>
      <c r="F186" s="4">
        <f>RDG!G66</f>
        <v>185</v>
      </c>
      <c r="G186" s="4" t="str">
        <f>IF(RDG!H66=0,"",RDG!H66)</f>
        <v>10</v>
      </c>
      <c r="H186" s="26">
        <f t="shared" si="6"/>
        <v>-1324507.5</v>
      </c>
      <c r="I186" s="4">
        <f t="shared" si="7"/>
        <v>0</v>
      </c>
      <c r="J186" s="27">
        <f>RDG!I66</f>
        <v>60588</v>
      </c>
      <c r="K186" s="27">
        <f>RDG!J66</f>
        <v>-388269</v>
      </c>
    </row>
    <row r="187" spans="4:11" ht="12.75">
      <c r="D187" s="4" t="s">
        <v>794</v>
      </c>
      <c r="E187" s="4">
        <v>2</v>
      </c>
      <c r="F187" s="4">
        <f>RDG!G67</f>
        <v>186</v>
      </c>
      <c r="G187" s="4">
        <f>IF(RDG!H67=0,"",RDG!H67)</f>
      </c>
      <c r="H187" s="26">
        <f t="shared" si="6"/>
        <v>112693.68</v>
      </c>
      <c r="I187" s="4">
        <f t="shared" si="7"/>
        <v>0</v>
      </c>
      <c r="J187" s="27">
        <f>RDG!I67</f>
        <v>60588</v>
      </c>
      <c r="K187" s="27">
        <f>RDG!J67</f>
        <v>0</v>
      </c>
    </row>
    <row r="188" spans="4:11" ht="12.75">
      <c r="D188" s="4" t="s">
        <v>794</v>
      </c>
      <c r="E188" s="4">
        <v>2</v>
      </c>
      <c r="F188" s="4">
        <f>RDG!G68</f>
        <v>187</v>
      </c>
      <c r="G188" s="4" t="str">
        <f>IF(RDG!H68=0,"",RDG!H68)</f>
        <v>10</v>
      </c>
      <c r="H188" s="26">
        <f t="shared" si="6"/>
        <v>1452126.06</v>
      </c>
      <c r="I188" s="4">
        <f t="shared" si="7"/>
        <v>0</v>
      </c>
      <c r="J188" s="27">
        <f>RDG!I68</f>
        <v>0</v>
      </c>
      <c r="K188" s="27">
        <f>RDG!J68</f>
        <v>388269</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54"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Vodovod i kanalizaija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t="str">
        <f>RefStr!L21</f>
        <v>02956572833</v>
      </c>
      <c r="V3" s="206" t="s">
        <v>2736</v>
      </c>
      <c r="W3" s="224">
        <f>RefStr!C31</f>
        <v>47300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75422440757</v>
      </c>
      <c r="V4" s="206" t="s">
        <v>2737</v>
      </c>
      <c r="W4" s="224" t="str">
        <f>RefStr!F31</f>
        <v>Ogulin</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01344846</v>
      </c>
      <c r="V5" s="206" t="s">
        <v>2738</v>
      </c>
      <c r="W5" s="224" t="str">
        <f>RefStr!C33</f>
        <v>Ivana Gorana Kovačića 14</v>
      </c>
      <c r="X5" s="226" t="s">
        <v>2929</v>
      </c>
      <c r="Y5" s="227" t="str">
        <f>RefStr!I62</f>
        <v>DA</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020026844</v>
      </c>
      <c r="V6" s="206" t="s">
        <v>2968</v>
      </c>
      <c r="W6" s="224" t="str">
        <f>RefStr!L35</f>
        <v>047/532-033</v>
      </c>
      <c r="X6" s="206" t="s">
        <v>2926</v>
      </c>
      <c r="Y6" s="224" t="str">
        <f>RefStr!C68</f>
        <v>Ivana Magdić Kurelac</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BOJAN.PREBEZIC@VODOVOD-OGULIN.HR</v>
      </c>
      <c r="X7" s="206" t="s">
        <v>2927</v>
      </c>
      <c r="Y7" s="224" t="str">
        <f>RefStr!C70</f>
        <v>047/525-380</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3600</v>
      </c>
      <c r="X8" s="206" t="s">
        <v>2928</v>
      </c>
      <c r="Y8" s="224" t="str">
        <f>TRIM(UPPER(RefStr!C72))</f>
        <v>IVANA.MAGDIC.KURELAC@VODOVOD-OGULIN.HR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48</v>
      </c>
      <c r="Q9" s="223">
        <f>RefStr!F58</f>
        <v>52</v>
      </c>
      <c r="R9" s="206" t="s">
        <v>914</v>
      </c>
      <c r="S9" s="224">
        <f>IF(RefStr!F4&lt;&gt;"",RefStr!F4,0)</f>
        <v>44561</v>
      </c>
      <c r="T9" s="206" t="s">
        <v>891</v>
      </c>
      <c r="U9" s="224">
        <f>RefStr!C39</f>
        <v>297</v>
      </c>
      <c r="V9" s="206" t="s">
        <v>2951</v>
      </c>
      <c r="W9" s="224" t="str">
        <f>RefStr!D42</f>
        <v>Skupljanje, pročišćavanje i opskrba vo...</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48</v>
      </c>
      <c r="Q10" s="225">
        <f>RefStr!F56</f>
        <v>52</v>
      </c>
      <c r="R10" s="208" t="s">
        <v>917</v>
      </c>
      <c r="S10" s="225">
        <f>RefStr!C23</f>
        <v>1</v>
      </c>
      <c r="T10" s="208" t="s">
        <v>2973</v>
      </c>
      <c r="U10" s="225" t="str">
        <f>RefStr!D39</f>
        <v>Ogulin</v>
      </c>
      <c r="V10" s="232"/>
      <c r="W10" s="233"/>
      <c r="X10" s="234" t="s">
        <v>2279</v>
      </c>
      <c r="Y10" s="235">
        <f>RefStr!F12</f>
        <v>2021</v>
      </c>
      <c r="Z10" s="208" t="s">
        <v>1771</v>
      </c>
      <c r="AA10" s="225" t="str">
        <f>RefStr!A75</f>
        <v>Prebežić Bojan, dipl.ing.</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0</v>
      </c>
      <c r="X50" s="196" t="s">
        <v>2257</v>
      </c>
      <c r="Y50" s="196">
        <f>IF(Bilanca!I73&gt;150000000,1,0)</f>
        <v>1</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1</v>
      </c>
      <c r="AL50" s="196" t="s">
        <v>2257</v>
      </c>
      <c r="AM50" s="196">
        <f>IF(Bilanca!J73&gt;150000000,1,0)</f>
        <v>1</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C:\Users\Ivana\Documents\[GFI-POD, 2021 javna objava.xls]RefStr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19" activePane="bottomLeft" state="frozen"/>
      <selection pane="topLeft" activeCell="A1" sqref="A1"/>
      <selection pane="bottomLeft" activeCell="I68" sqref="I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134484.6</v>
      </c>
    </row>
    <row r="13" spans="4:17" ht="9.75" customHeight="1">
      <c r="D13" s="152"/>
      <c r="E13" s="158"/>
      <c r="H13" s="23"/>
      <c r="I13" s="159"/>
      <c r="J13" s="159"/>
      <c r="K13" s="152"/>
      <c r="L13" s="152"/>
      <c r="M13" s="152"/>
      <c r="N13" s="152"/>
      <c r="P13" s="50" t="s">
        <v>1561</v>
      </c>
      <c r="Q13" s="51">
        <f>INT(VALUE(M27))/50</f>
        <v>400536.88</v>
      </c>
    </row>
    <row r="14" spans="1:17" ht="15">
      <c r="A14" s="289" t="s">
        <v>1312</v>
      </c>
      <c r="B14" s="289"/>
      <c r="C14" s="289"/>
      <c r="D14" s="160"/>
      <c r="E14" s="161"/>
      <c r="F14" s="287"/>
      <c r="G14" s="288"/>
      <c r="H14" s="288"/>
      <c r="I14" s="152"/>
      <c r="J14" s="310" t="s">
        <v>1978</v>
      </c>
      <c r="K14" s="311"/>
      <c r="L14" s="311"/>
      <c r="M14" s="311"/>
      <c r="N14" s="311"/>
      <c r="P14" s="50" t="s">
        <v>1316</v>
      </c>
      <c r="Q14" s="51">
        <f>INT(VALUE(C27))/100</f>
        <v>754224407.57</v>
      </c>
    </row>
    <row r="15" spans="1:17" ht="19.5" customHeight="1">
      <c r="A15" s="307">
        <f>Skriveni!B59</f>
        <v>3222948649.4400005</v>
      </c>
      <c r="B15" s="308"/>
      <c r="C15" s="309"/>
      <c r="D15" s="56"/>
      <c r="E15" s="56"/>
      <c r="F15" s="56"/>
      <c r="G15" s="56"/>
      <c r="H15" s="56"/>
      <c r="I15" s="56"/>
      <c r="J15" s="56"/>
      <c r="K15" s="56"/>
      <c r="L15" s="56"/>
      <c r="M15" s="56"/>
      <c r="N15" s="56"/>
      <c r="P15" s="50" t="s">
        <v>887</v>
      </c>
      <c r="Q15" s="51">
        <f>LEN(Skriveni!B9)</f>
        <v>28</v>
      </c>
    </row>
    <row r="16" spans="4:17" ht="12.75" customHeight="1">
      <c r="D16" s="56"/>
      <c r="E16" s="56"/>
      <c r="F16" s="56"/>
      <c r="G16" s="56"/>
      <c r="H16" s="56"/>
      <c r="I16" s="56"/>
      <c r="P16" s="50" t="s">
        <v>888</v>
      </c>
      <c r="Q16" s="51">
        <f>INT(VALUE(C31))/100</f>
        <v>473</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6</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2982</v>
      </c>
      <c r="P19" s="50" t="s">
        <v>890</v>
      </c>
      <c r="Q19" s="51">
        <f>LEN(Skriveni!B12)</f>
        <v>24</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1587</v>
      </c>
      <c r="J21" s="290" t="s">
        <v>1988</v>
      </c>
      <c r="K21" s="291"/>
      <c r="L21" s="282" t="s">
        <v>2995</v>
      </c>
      <c r="M21" s="283"/>
      <c r="N21" s="284"/>
      <c r="P21" s="50" t="s">
        <v>891</v>
      </c>
      <c r="Q21" s="51">
        <f>INT(VALUE(C39))</f>
        <v>297</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3600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2984</v>
      </c>
      <c r="D27" s="374"/>
      <c r="E27" s="284"/>
      <c r="F27" s="370" t="s">
        <v>2787</v>
      </c>
      <c r="G27" s="373"/>
      <c r="H27" s="282" t="s">
        <v>2985</v>
      </c>
      <c r="I27" s="372"/>
      <c r="J27" s="370" t="s">
        <v>1977</v>
      </c>
      <c r="K27" s="281"/>
      <c r="L27" s="280"/>
      <c r="M27" s="282" t="s">
        <v>2983</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47300</v>
      </c>
      <c r="D31" s="343" t="s">
        <v>929</v>
      </c>
      <c r="E31" s="344"/>
      <c r="F31" s="345" t="s">
        <v>1851</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2990</v>
      </c>
      <c r="D35" s="277"/>
      <c r="E35" s="277"/>
      <c r="F35" s="277"/>
      <c r="G35" s="277"/>
      <c r="H35" s="277"/>
      <c r="I35" s="278"/>
      <c r="J35" s="275" t="s">
        <v>1750</v>
      </c>
      <c r="K35" s="296"/>
      <c r="L35" s="282" t="s">
        <v>2989</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2988</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297</v>
      </c>
      <c r="D39" s="358" t="str">
        <f>IF(C39="","Upišite šifru grada/općine",IF(ISNA(LOOKUP(C39,A177:A732,A177:A732)),"Šifra grada/općine ne postoji",IF(LOOKUP(C39,A177:A732,A177:A732)&lt;&gt;C39,"Šifra grada/općine ne postoji",LOOKUP(C39,A177:A732,B177:B732))))</f>
        <v>Ogulin</v>
      </c>
      <c r="E39" s="359"/>
      <c r="F39" s="359"/>
      <c r="G39" s="359"/>
      <c r="H39" s="279" t="s">
        <v>2109</v>
      </c>
      <c r="I39" s="280"/>
      <c r="J39" s="54">
        <f>IF(C39&gt;0,LOOKUP(C39,A177:A732,C177:C732),"")</f>
        <v>4</v>
      </c>
      <c r="K39" s="350" t="str">
        <f>IF(J39="","Upišite šifru grada/općine",LOOKUP(J39,A153:A173,B153:B173))</f>
        <v>KARLOVAČKA</v>
      </c>
      <c r="L39" s="350"/>
      <c r="M39" s="350"/>
      <c r="N39" s="350"/>
      <c r="P39" s="50" t="s">
        <v>896</v>
      </c>
      <c r="Q39" s="51">
        <f>C56+2*F56+3*C58+4*F58</f>
        <v>504</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2347</v>
      </c>
      <c r="D42" s="356" t="str">
        <f>IF(C42="","Upišite šifru razreda glavne djelatnosti",IF(ISNA(LOOKUP(C42,A736:A1351,A736:A1351)),"Šifra NKD-a ne postoji",IF(LOOKUP(C42,A736:A1351,A736:A1351)&lt;&gt;C42,"Šifra NKD-a ne postoji",LOOKUP(C42,A736:A1351,B736:B1351))))</f>
        <v>Skupljanje, pročišćavanje i opskrba vo...</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25</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29565728.33</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48</v>
      </c>
      <c r="D56" s="272" t="s">
        <v>2653</v>
      </c>
      <c r="E56" s="362"/>
      <c r="F56" s="40">
        <v>52</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48</v>
      </c>
      <c r="D58" s="354" t="s">
        <v>2653</v>
      </c>
      <c r="E58" s="354"/>
      <c r="F58" s="40">
        <v>52</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1587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2991</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2992</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2993</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2994</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2" activePane="bottomLeft" state="frozen"/>
      <selection pane="topLeft" activeCell="A1" sqref="A1"/>
      <selection pane="bottomLeft" activeCell="H133" sqref="H13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75422440757; Vodovod i kanalizaija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167155973</v>
      </c>
      <c r="J10" s="66">
        <f>J11+J18+J28+J39+J44</f>
        <v>163467237</v>
      </c>
    </row>
    <row r="11" spans="1:10" ht="13.5" customHeight="1">
      <c r="A11" s="390" t="s">
        <v>904</v>
      </c>
      <c r="B11" s="390"/>
      <c r="C11" s="390"/>
      <c r="D11" s="390"/>
      <c r="E11" s="390"/>
      <c r="F11" s="390"/>
      <c r="G11" s="15">
        <v>3</v>
      </c>
      <c r="H11" s="16" t="s">
        <v>2996</v>
      </c>
      <c r="I11" s="66">
        <f>SUM(I12:I17)</f>
        <v>718074</v>
      </c>
      <c r="J11" s="66">
        <f>SUM(J12:J17)</f>
        <v>108846</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t="s">
        <v>2996</v>
      </c>
      <c r="I13" s="67">
        <v>718074</v>
      </c>
      <c r="J13" s="67">
        <v>108846</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t="s">
        <v>2996</v>
      </c>
      <c r="I18" s="66">
        <f>SUM(I19:I27)</f>
        <v>166437899</v>
      </c>
      <c r="J18" s="66">
        <f>SUM(J19:J27)</f>
        <v>163358391</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t="s">
        <v>2996</v>
      </c>
      <c r="I20" s="67">
        <v>145924973</v>
      </c>
      <c r="J20" s="67">
        <v>144100175</v>
      </c>
    </row>
    <row r="21" spans="1:10" ht="13.5" customHeight="1">
      <c r="A21" s="387" t="s">
        <v>734</v>
      </c>
      <c r="B21" s="387"/>
      <c r="C21" s="387"/>
      <c r="D21" s="387"/>
      <c r="E21" s="387"/>
      <c r="F21" s="387"/>
      <c r="G21" s="15">
        <v>13</v>
      </c>
      <c r="H21" s="16" t="s">
        <v>2996</v>
      </c>
      <c r="I21" s="67">
        <v>13771210</v>
      </c>
      <c r="J21" s="67">
        <v>12797125</v>
      </c>
    </row>
    <row r="22" spans="1:10" ht="13.5" customHeight="1">
      <c r="A22" s="387" t="s">
        <v>405</v>
      </c>
      <c r="B22" s="387"/>
      <c r="C22" s="387"/>
      <c r="D22" s="387"/>
      <c r="E22" s="387"/>
      <c r="F22" s="387"/>
      <c r="G22" s="15">
        <v>14</v>
      </c>
      <c r="H22" s="16" t="s">
        <v>2996</v>
      </c>
      <c r="I22" s="67">
        <v>552685</v>
      </c>
      <c r="J22" s="67">
        <v>677726</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t="s">
        <v>2996</v>
      </c>
      <c r="I25" s="67">
        <v>6189031</v>
      </c>
      <c r="J25" s="67">
        <v>5783365</v>
      </c>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7798774</v>
      </c>
      <c r="J45" s="66">
        <f>J46+J54+J61+J71</f>
        <v>7118182</v>
      </c>
    </row>
    <row r="46" spans="1:10" ht="13.5" customHeight="1">
      <c r="A46" s="390" t="s">
        <v>1264</v>
      </c>
      <c r="B46" s="390"/>
      <c r="C46" s="390"/>
      <c r="D46" s="390"/>
      <c r="E46" s="390"/>
      <c r="F46" s="390"/>
      <c r="G46" s="15">
        <v>38</v>
      </c>
      <c r="H46" s="16" t="s">
        <v>2997</v>
      </c>
      <c r="I46" s="66">
        <f>SUM(I47:I53)</f>
        <v>950559</v>
      </c>
      <c r="J46" s="66">
        <f>SUM(J47:J53)</f>
        <v>886874</v>
      </c>
    </row>
    <row r="47" spans="1:10" ht="13.5" customHeight="1">
      <c r="A47" s="387" t="s">
        <v>1892</v>
      </c>
      <c r="B47" s="387"/>
      <c r="C47" s="387"/>
      <c r="D47" s="387"/>
      <c r="E47" s="387"/>
      <c r="F47" s="387"/>
      <c r="G47" s="15">
        <v>39</v>
      </c>
      <c r="H47" s="16" t="s">
        <v>2997</v>
      </c>
      <c r="I47" s="67">
        <v>950559</v>
      </c>
      <c r="J47" s="67">
        <v>886874</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4206901</v>
      </c>
      <c r="J54" s="66">
        <f>SUM(J55:J60)</f>
        <v>4558337</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t="s">
        <v>2998</v>
      </c>
      <c r="I57" s="67">
        <v>4093471</v>
      </c>
      <c r="J57" s="67">
        <v>4409945</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t="s">
        <v>2998</v>
      </c>
      <c r="I59" s="67">
        <v>31075</v>
      </c>
      <c r="J59" s="67">
        <v>57872</v>
      </c>
    </row>
    <row r="60" spans="1:10" ht="13.5" customHeight="1">
      <c r="A60" s="387" t="s">
        <v>1255</v>
      </c>
      <c r="B60" s="387"/>
      <c r="C60" s="387"/>
      <c r="D60" s="387"/>
      <c r="E60" s="387"/>
      <c r="F60" s="387"/>
      <c r="G60" s="15">
        <v>52</v>
      </c>
      <c r="H60" s="16" t="s">
        <v>2998</v>
      </c>
      <c r="I60" s="67">
        <v>82355</v>
      </c>
      <c r="J60" s="67">
        <v>90520</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t="s">
        <v>2999</v>
      </c>
      <c r="I71" s="67">
        <v>2641314</v>
      </c>
      <c r="J71" s="67">
        <v>1672971</v>
      </c>
    </row>
    <row r="72" spans="1:10" ht="24.75" customHeight="1">
      <c r="A72" s="385" t="s">
        <v>591</v>
      </c>
      <c r="B72" s="385"/>
      <c r="C72" s="385"/>
      <c r="D72" s="385"/>
      <c r="E72" s="385"/>
      <c r="F72" s="385"/>
      <c r="G72" s="15">
        <v>64</v>
      </c>
      <c r="H72" s="16"/>
      <c r="I72" s="67">
        <v>456</v>
      </c>
      <c r="J72" s="67"/>
    </row>
    <row r="73" spans="1:10" ht="13.5" customHeight="1">
      <c r="A73" s="385" t="s">
        <v>1267</v>
      </c>
      <c r="B73" s="385"/>
      <c r="C73" s="385"/>
      <c r="D73" s="385"/>
      <c r="E73" s="385"/>
      <c r="F73" s="385"/>
      <c r="G73" s="15">
        <v>65</v>
      </c>
      <c r="H73" s="16"/>
      <c r="I73" s="66">
        <f>I9+I10+I45+I72</f>
        <v>174955203</v>
      </c>
      <c r="J73" s="66">
        <f>J9+J10+J45+J72</f>
        <v>170585419</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20913684</v>
      </c>
      <c r="J76" s="66">
        <f>J77+J78+J79+J85+J86+J92+J95+J98</f>
        <v>20327318</v>
      </c>
      <c r="L76" s="2" t="s">
        <v>1209</v>
      </c>
    </row>
    <row r="77" spans="1:10" ht="13.5" customHeight="1">
      <c r="A77" s="390" t="s">
        <v>1857</v>
      </c>
      <c r="B77" s="390"/>
      <c r="C77" s="390"/>
      <c r="D77" s="390"/>
      <c r="E77" s="390"/>
      <c r="F77" s="390"/>
      <c r="G77" s="15">
        <v>68</v>
      </c>
      <c r="H77" s="16" t="s">
        <v>3000</v>
      </c>
      <c r="I77" s="67">
        <v>2060800</v>
      </c>
      <c r="J77" s="67">
        <v>2060800</v>
      </c>
    </row>
    <row r="78" spans="1:12" ht="13.5" customHeight="1">
      <c r="A78" s="390" t="s">
        <v>1858</v>
      </c>
      <c r="B78" s="390"/>
      <c r="C78" s="390"/>
      <c r="D78" s="390"/>
      <c r="E78" s="390"/>
      <c r="F78" s="390"/>
      <c r="G78" s="15">
        <v>69</v>
      </c>
      <c r="H78" s="16" t="s">
        <v>3001</v>
      </c>
      <c r="I78" s="67">
        <v>10782192</v>
      </c>
      <c r="J78" s="67">
        <v>10782192</v>
      </c>
      <c r="L78" s="2" t="s">
        <v>1209</v>
      </c>
    </row>
    <row r="79" spans="1:12" ht="13.5" customHeight="1">
      <c r="A79" s="390" t="s">
        <v>673</v>
      </c>
      <c r="B79" s="390"/>
      <c r="C79" s="390"/>
      <c r="D79" s="390"/>
      <c r="E79" s="390"/>
      <c r="F79" s="390"/>
      <c r="G79" s="15">
        <v>70</v>
      </c>
      <c r="H79" s="16" t="s">
        <v>3002</v>
      </c>
      <c r="I79" s="66">
        <f>I80+I81-I82+I83+I84</f>
        <v>815693</v>
      </c>
      <c r="J79" s="66">
        <f>J80+J81-J82+J83+J84</f>
        <v>815693</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t="s">
        <v>3002</v>
      </c>
      <c r="I83" s="67">
        <v>815693</v>
      </c>
      <c r="J83" s="67">
        <v>815693</v>
      </c>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t="s">
        <v>3003</v>
      </c>
      <c r="I85" s="67">
        <v>3814797</v>
      </c>
      <c r="J85" s="67">
        <v>3814797</v>
      </c>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t="s">
        <v>3004</v>
      </c>
      <c r="I92" s="66">
        <f>I93-I94</f>
        <v>3379614</v>
      </c>
      <c r="J92" s="66">
        <f>J93-J94</f>
        <v>3242104</v>
      </c>
      <c r="L92" s="2" t="s">
        <v>1209</v>
      </c>
    </row>
    <row r="93" spans="1:10" ht="13.5" customHeight="1">
      <c r="A93" s="387" t="s">
        <v>2830</v>
      </c>
      <c r="B93" s="387"/>
      <c r="C93" s="387"/>
      <c r="D93" s="387"/>
      <c r="E93" s="387"/>
      <c r="F93" s="387"/>
      <c r="G93" s="15">
        <v>84</v>
      </c>
      <c r="H93" s="16" t="s">
        <v>3004</v>
      </c>
      <c r="I93" s="67">
        <v>3379614</v>
      </c>
      <c r="J93" s="67">
        <v>3242104</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t="s">
        <v>3005</v>
      </c>
      <c r="I95" s="66">
        <f>I96-I97</f>
        <v>60588</v>
      </c>
      <c r="J95" s="66">
        <f>J96-J97</f>
        <v>-388268</v>
      </c>
      <c r="L95" s="2" t="s">
        <v>1209</v>
      </c>
    </row>
    <row r="96" spans="1:10" ht="13.5" customHeight="1">
      <c r="A96" s="387" t="s">
        <v>1257</v>
      </c>
      <c r="B96" s="387"/>
      <c r="C96" s="387"/>
      <c r="D96" s="387"/>
      <c r="E96" s="387"/>
      <c r="F96" s="387"/>
      <c r="G96" s="15">
        <v>87</v>
      </c>
      <c r="H96" s="16" t="s">
        <v>3005</v>
      </c>
      <c r="I96" s="67">
        <v>60588</v>
      </c>
      <c r="J96" s="67"/>
    </row>
    <row r="97" spans="1:10" ht="13.5" customHeight="1">
      <c r="A97" s="387" t="s">
        <v>2832</v>
      </c>
      <c r="B97" s="387"/>
      <c r="C97" s="387"/>
      <c r="D97" s="387"/>
      <c r="E97" s="387"/>
      <c r="F97" s="387"/>
      <c r="G97" s="15">
        <v>88</v>
      </c>
      <c r="H97" s="16"/>
      <c r="I97" s="67"/>
      <c r="J97" s="67">
        <v>388268</v>
      </c>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t="s">
        <v>3006</v>
      </c>
      <c r="I99" s="66">
        <f>SUM(I100:I105)</f>
        <v>91055</v>
      </c>
      <c r="J99" s="66">
        <f>SUM(J100:J105)</f>
        <v>41880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t="s">
        <v>3006</v>
      </c>
      <c r="I102" s="67">
        <v>91055</v>
      </c>
      <c r="J102" s="67">
        <v>41880</v>
      </c>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1311579</v>
      </c>
      <c r="J106" s="66">
        <f>SUM(J107:J117)</f>
        <v>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1311579</v>
      </c>
      <c r="J112" s="67">
        <v>0</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t="s">
        <v>3007</v>
      </c>
      <c r="I118" s="66">
        <f>SUM(I119:I132)</f>
        <v>1700774</v>
      </c>
      <c r="J118" s="66">
        <f>SUM(J119:J132)</f>
        <v>2568032</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t="s">
        <v>3007</v>
      </c>
      <c r="I123" s="67">
        <v>10000</v>
      </c>
      <c r="J123" s="67">
        <v>0</v>
      </c>
    </row>
    <row r="124" spans="1:10" ht="13.5" customHeight="1">
      <c r="A124" s="387" t="s">
        <v>2021</v>
      </c>
      <c r="B124" s="387"/>
      <c r="C124" s="387"/>
      <c r="D124" s="387"/>
      <c r="E124" s="387"/>
      <c r="F124" s="387"/>
      <c r="G124" s="15">
        <v>115</v>
      </c>
      <c r="H124" s="16"/>
      <c r="I124" s="67"/>
      <c r="J124" s="67">
        <v>634148</v>
      </c>
    </row>
    <row r="125" spans="1:10" ht="13.5" customHeight="1">
      <c r="A125" s="387" t="s">
        <v>2016</v>
      </c>
      <c r="B125" s="387"/>
      <c r="C125" s="387"/>
      <c r="D125" s="387"/>
      <c r="E125" s="387"/>
      <c r="F125" s="387"/>
      <c r="G125" s="15">
        <v>116</v>
      </c>
      <c r="H125" s="16" t="s">
        <v>3007</v>
      </c>
      <c r="I125" s="67">
        <v>57877</v>
      </c>
      <c r="J125" s="67">
        <v>68395</v>
      </c>
    </row>
    <row r="126" spans="1:10" ht="13.5" customHeight="1">
      <c r="A126" s="387" t="s">
        <v>2017</v>
      </c>
      <c r="B126" s="387"/>
      <c r="C126" s="387"/>
      <c r="D126" s="387"/>
      <c r="E126" s="387"/>
      <c r="F126" s="387"/>
      <c r="G126" s="15">
        <v>117</v>
      </c>
      <c r="H126" s="16" t="s">
        <v>3007</v>
      </c>
      <c r="I126" s="67">
        <v>759573</v>
      </c>
      <c r="J126" s="67">
        <v>757413</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t="s">
        <v>3007</v>
      </c>
      <c r="I128" s="67">
        <v>190707</v>
      </c>
      <c r="J128" s="67">
        <v>166016</v>
      </c>
    </row>
    <row r="129" spans="1:10" ht="13.5" customHeight="1">
      <c r="A129" s="387" t="s">
        <v>2023</v>
      </c>
      <c r="B129" s="387"/>
      <c r="C129" s="387"/>
      <c r="D129" s="387"/>
      <c r="E129" s="387"/>
      <c r="F129" s="387"/>
      <c r="G129" s="15">
        <v>120</v>
      </c>
      <c r="H129" s="16" t="s">
        <v>3007</v>
      </c>
      <c r="I129" s="67">
        <v>101395</v>
      </c>
      <c r="J129" s="67">
        <v>83662</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t="s">
        <v>3007</v>
      </c>
      <c r="I132" s="67">
        <v>581222</v>
      </c>
      <c r="J132" s="67">
        <v>858398</v>
      </c>
    </row>
    <row r="133" spans="1:10" ht="24.75" customHeight="1">
      <c r="A133" s="385" t="s">
        <v>593</v>
      </c>
      <c r="B133" s="385"/>
      <c r="C133" s="385"/>
      <c r="D133" s="385"/>
      <c r="E133" s="385"/>
      <c r="F133" s="385"/>
      <c r="G133" s="15">
        <v>124</v>
      </c>
      <c r="H133" s="16" t="s">
        <v>3008</v>
      </c>
      <c r="I133" s="67">
        <v>150938111</v>
      </c>
      <c r="J133" s="67">
        <v>147648189</v>
      </c>
    </row>
    <row r="134" spans="1:10" ht="13.5" customHeight="1">
      <c r="A134" s="385" t="s">
        <v>360</v>
      </c>
      <c r="B134" s="385"/>
      <c r="C134" s="385"/>
      <c r="D134" s="385"/>
      <c r="E134" s="385"/>
      <c r="F134" s="385"/>
      <c r="G134" s="15">
        <v>125</v>
      </c>
      <c r="H134" s="16"/>
      <c r="I134" s="66">
        <f>I76+I99+I106+I118+I133</f>
        <v>174955203</v>
      </c>
      <c r="J134" s="66">
        <f>J76+J99+J106+J118+J133</f>
        <v>170585419</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tabSelected="1" zoomScalePageLayoutView="0" workbookViewId="0" topLeftCell="A1">
      <pane ySplit="1" topLeftCell="A47" activePane="bottomLeft" state="frozen"/>
      <selection pane="topLeft" activeCell="A1" sqref="A1"/>
      <selection pane="bottomLeft" activeCell="H68" sqref="H68"/>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75422440757; Vodovod i kanalizaija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19476149</v>
      </c>
      <c r="J8" s="80">
        <f>SUM(J9:J13)</f>
        <v>22092513</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t="s">
        <v>2996</v>
      </c>
      <c r="I10" s="67">
        <v>11390894</v>
      </c>
      <c r="J10" s="67">
        <v>11753893</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t="s">
        <v>2997</v>
      </c>
      <c r="I13" s="67">
        <v>8085255</v>
      </c>
      <c r="J13" s="67">
        <v>10338620</v>
      </c>
    </row>
    <row r="14" spans="1:10" s="2" customFormat="1" ht="14.25" customHeight="1">
      <c r="A14" s="385" t="s">
        <v>2492</v>
      </c>
      <c r="B14" s="385"/>
      <c r="C14" s="385"/>
      <c r="D14" s="385"/>
      <c r="E14" s="385"/>
      <c r="F14" s="385"/>
      <c r="G14" s="15">
        <v>133</v>
      </c>
      <c r="H14" s="16"/>
      <c r="I14" s="66">
        <f>I15+I16+I20+I24+I25+I26+I29+I36</f>
        <v>19883462</v>
      </c>
      <c r="J14" s="66">
        <f>J15+J16+J20+J24+J25+J26+J29+J36</f>
        <v>23534025</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t="s">
        <v>2998</v>
      </c>
      <c r="I16" s="66">
        <f>SUM(I17:I19)</f>
        <v>4156380</v>
      </c>
      <c r="J16" s="66">
        <f>SUM(J17:J19)</f>
        <v>6032132</v>
      </c>
    </row>
    <row r="17" spans="1:10" s="2" customFormat="1" ht="14.25" customHeight="1">
      <c r="A17" s="413" t="s">
        <v>1273</v>
      </c>
      <c r="B17" s="413"/>
      <c r="C17" s="413"/>
      <c r="D17" s="413"/>
      <c r="E17" s="413"/>
      <c r="F17" s="413"/>
      <c r="G17" s="15">
        <v>136</v>
      </c>
      <c r="H17" s="16" t="s">
        <v>2998</v>
      </c>
      <c r="I17" s="67">
        <v>2431879</v>
      </c>
      <c r="J17" s="67">
        <v>2541438</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t="s">
        <v>2998</v>
      </c>
      <c r="I19" s="67">
        <v>1724501</v>
      </c>
      <c r="J19" s="67">
        <v>3490694</v>
      </c>
    </row>
    <row r="20" spans="1:10" s="2" customFormat="1" ht="14.25" customHeight="1">
      <c r="A20" s="387" t="s">
        <v>2494</v>
      </c>
      <c r="B20" s="387"/>
      <c r="C20" s="387"/>
      <c r="D20" s="387"/>
      <c r="E20" s="387"/>
      <c r="F20" s="387"/>
      <c r="G20" s="15">
        <v>139</v>
      </c>
      <c r="H20" s="16" t="s">
        <v>2999</v>
      </c>
      <c r="I20" s="66">
        <f>SUM(I21:I23)</f>
        <v>5447634</v>
      </c>
      <c r="J20" s="66">
        <f>SUM(J21:J23)</f>
        <v>6035465</v>
      </c>
    </row>
    <row r="21" spans="1:10" s="2" customFormat="1" ht="14.25" customHeight="1">
      <c r="A21" s="413" t="s">
        <v>960</v>
      </c>
      <c r="B21" s="413"/>
      <c r="C21" s="413"/>
      <c r="D21" s="413"/>
      <c r="E21" s="413"/>
      <c r="F21" s="413"/>
      <c r="G21" s="15">
        <v>140</v>
      </c>
      <c r="H21" s="16" t="s">
        <v>2999</v>
      </c>
      <c r="I21" s="67">
        <v>3493750</v>
      </c>
      <c r="J21" s="67">
        <v>3863340</v>
      </c>
    </row>
    <row r="22" spans="1:10" s="2" customFormat="1" ht="14.25" customHeight="1">
      <c r="A22" s="413" t="s">
        <v>1883</v>
      </c>
      <c r="B22" s="413"/>
      <c r="C22" s="413"/>
      <c r="D22" s="413"/>
      <c r="E22" s="413"/>
      <c r="F22" s="413"/>
      <c r="G22" s="15">
        <v>141</v>
      </c>
      <c r="H22" s="16" t="s">
        <v>2999</v>
      </c>
      <c r="I22" s="67">
        <v>1172979</v>
      </c>
      <c r="J22" s="67">
        <v>1296521</v>
      </c>
    </row>
    <row r="23" spans="1:10" s="2" customFormat="1" ht="14.25" customHeight="1">
      <c r="A23" s="413" t="s">
        <v>1884</v>
      </c>
      <c r="B23" s="413"/>
      <c r="C23" s="413"/>
      <c r="D23" s="413"/>
      <c r="E23" s="413"/>
      <c r="F23" s="413"/>
      <c r="G23" s="15">
        <v>142</v>
      </c>
      <c r="H23" s="16" t="s">
        <v>2999</v>
      </c>
      <c r="I23" s="67">
        <v>780905</v>
      </c>
      <c r="J23" s="67">
        <v>875604</v>
      </c>
    </row>
    <row r="24" spans="1:10" s="2" customFormat="1" ht="14.25" customHeight="1">
      <c r="A24" s="387" t="s">
        <v>1006</v>
      </c>
      <c r="B24" s="387"/>
      <c r="C24" s="387"/>
      <c r="D24" s="387"/>
      <c r="E24" s="387"/>
      <c r="F24" s="387"/>
      <c r="G24" s="15">
        <v>143</v>
      </c>
      <c r="H24" s="16" t="s">
        <v>3000</v>
      </c>
      <c r="I24" s="67">
        <v>8038685</v>
      </c>
      <c r="J24" s="67">
        <v>8768365</v>
      </c>
    </row>
    <row r="25" spans="1:10" s="2" customFormat="1" ht="14.25" customHeight="1">
      <c r="A25" s="387" t="s">
        <v>1007</v>
      </c>
      <c r="B25" s="387"/>
      <c r="C25" s="387"/>
      <c r="D25" s="387"/>
      <c r="E25" s="387"/>
      <c r="F25" s="387"/>
      <c r="G25" s="15">
        <v>144</v>
      </c>
      <c r="H25" s="16" t="s">
        <v>3001</v>
      </c>
      <c r="I25" s="67">
        <v>2136177</v>
      </c>
      <c r="J25" s="67">
        <v>2573030</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t="s">
        <v>3002</v>
      </c>
      <c r="I36" s="67">
        <v>104586</v>
      </c>
      <c r="J36" s="67">
        <v>125033</v>
      </c>
    </row>
    <row r="37" spans="1:10" s="2" customFormat="1" ht="14.25" customHeight="1">
      <c r="A37" s="385" t="s">
        <v>2497</v>
      </c>
      <c r="B37" s="385"/>
      <c r="C37" s="385"/>
      <c r="D37" s="385"/>
      <c r="E37" s="385"/>
      <c r="F37" s="385"/>
      <c r="G37" s="15">
        <v>156</v>
      </c>
      <c r="H37" s="16" t="s">
        <v>3003</v>
      </c>
      <c r="I37" s="66">
        <f>SUM(I38:I47)</f>
        <v>491428</v>
      </c>
      <c r="J37" s="66">
        <f>SUM(J38:J47)</f>
        <v>1122493</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t="s">
        <v>3003</v>
      </c>
      <c r="I44" s="67">
        <v>55089</v>
      </c>
      <c r="J44" s="67">
        <v>102931</v>
      </c>
    </row>
    <row r="45" spans="1:10" s="2" customFormat="1" ht="14.25" customHeight="1">
      <c r="A45" s="387" t="s">
        <v>2961</v>
      </c>
      <c r="B45" s="387"/>
      <c r="C45" s="387"/>
      <c r="D45" s="387"/>
      <c r="E45" s="387"/>
      <c r="F45" s="387"/>
      <c r="G45" s="15">
        <v>164</v>
      </c>
      <c r="H45" s="16"/>
      <c r="I45" s="67"/>
      <c r="J45" s="67">
        <v>2150</v>
      </c>
    </row>
    <row r="46" spans="1:10" s="2" customFormat="1" ht="14.25" customHeight="1">
      <c r="A46" s="387" t="s">
        <v>2960</v>
      </c>
      <c r="B46" s="387"/>
      <c r="C46" s="387"/>
      <c r="D46" s="387"/>
      <c r="E46" s="387"/>
      <c r="F46" s="387"/>
      <c r="G46" s="15">
        <v>165</v>
      </c>
      <c r="H46" s="16"/>
      <c r="I46" s="67">
        <v>0</v>
      </c>
      <c r="J46" s="67"/>
    </row>
    <row r="47" spans="1:10" s="2" customFormat="1" ht="14.25" customHeight="1">
      <c r="A47" s="387" t="s">
        <v>2956</v>
      </c>
      <c r="B47" s="387"/>
      <c r="C47" s="387"/>
      <c r="D47" s="387"/>
      <c r="E47" s="387"/>
      <c r="F47" s="387"/>
      <c r="G47" s="15">
        <v>166</v>
      </c>
      <c r="H47" s="16" t="s">
        <v>3003</v>
      </c>
      <c r="I47" s="67">
        <v>436339</v>
      </c>
      <c r="J47" s="67">
        <v>1017412</v>
      </c>
    </row>
    <row r="48" spans="1:10" s="2" customFormat="1" ht="14.25" customHeight="1">
      <c r="A48" s="385" t="s">
        <v>2498</v>
      </c>
      <c r="B48" s="385"/>
      <c r="C48" s="385"/>
      <c r="D48" s="385"/>
      <c r="E48" s="385"/>
      <c r="F48" s="385"/>
      <c r="G48" s="15">
        <v>167</v>
      </c>
      <c r="H48" s="16" t="s">
        <v>3004</v>
      </c>
      <c r="I48" s="66">
        <f>SUM(I49:I55)</f>
        <v>3414</v>
      </c>
      <c r="J48" s="66">
        <f>SUM(J49:J55)</f>
        <v>69250</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t="s">
        <v>3004</v>
      </c>
      <c r="I51" s="67">
        <v>2143</v>
      </c>
      <c r="J51" s="67">
        <v>42292</v>
      </c>
    </row>
    <row r="52" spans="1:10" s="2" customFormat="1" ht="14.25" customHeight="1">
      <c r="A52" s="408" t="s">
        <v>1090</v>
      </c>
      <c r="B52" s="408"/>
      <c r="C52" s="408"/>
      <c r="D52" s="408"/>
      <c r="E52" s="408"/>
      <c r="F52" s="408"/>
      <c r="G52" s="15">
        <v>171</v>
      </c>
      <c r="H52" s="16" t="s">
        <v>3004</v>
      </c>
      <c r="I52" s="67">
        <v>1271</v>
      </c>
      <c r="J52" s="67">
        <v>26958</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v>0</v>
      </c>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19967577</v>
      </c>
      <c r="J60" s="66">
        <f>J8+J37+J56+J57</f>
        <v>23215006</v>
      </c>
    </row>
    <row r="61" spans="1:10" s="2" customFormat="1" ht="14.25" customHeight="1">
      <c r="A61" s="385" t="s">
        <v>2500</v>
      </c>
      <c r="B61" s="385"/>
      <c r="C61" s="385"/>
      <c r="D61" s="385"/>
      <c r="E61" s="385"/>
      <c r="F61" s="385"/>
      <c r="G61" s="15">
        <v>180</v>
      </c>
      <c r="H61" s="16"/>
      <c r="I61" s="66">
        <f>I14+I48+I58+I59</f>
        <v>19886876</v>
      </c>
      <c r="J61" s="66">
        <f>J14+J48+J58+J59</f>
        <v>23603275</v>
      </c>
    </row>
    <row r="62" spans="1:12" s="2" customFormat="1" ht="14.25" customHeight="1">
      <c r="A62" s="385" t="s">
        <v>2501</v>
      </c>
      <c r="B62" s="385"/>
      <c r="C62" s="385"/>
      <c r="D62" s="385"/>
      <c r="E62" s="385"/>
      <c r="F62" s="385"/>
      <c r="G62" s="15">
        <v>181</v>
      </c>
      <c r="H62" s="16" t="s">
        <v>3005</v>
      </c>
      <c r="I62" s="66">
        <f>I60-I61</f>
        <v>80701</v>
      </c>
      <c r="J62" s="66">
        <f>J60-J61</f>
        <v>-388269</v>
      </c>
      <c r="L62" s="2" t="s">
        <v>1209</v>
      </c>
    </row>
    <row r="63" spans="1:10" s="2" customFormat="1" ht="14.25" customHeight="1">
      <c r="A63" s="408" t="s">
        <v>2502</v>
      </c>
      <c r="B63" s="408"/>
      <c r="C63" s="408"/>
      <c r="D63" s="408"/>
      <c r="E63" s="408"/>
      <c r="F63" s="408"/>
      <c r="G63" s="15">
        <v>182</v>
      </c>
      <c r="H63" s="16"/>
      <c r="I63" s="66">
        <f>IF(I60&gt;I61,I60-I61,0)</f>
        <v>80701</v>
      </c>
      <c r="J63" s="66">
        <f>IF(J60&gt;J61,J60-J61,0)</f>
        <v>0</v>
      </c>
    </row>
    <row r="64" spans="1:10" s="2" customFormat="1" ht="14.25" customHeight="1">
      <c r="A64" s="408" t="s">
        <v>2503</v>
      </c>
      <c r="B64" s="408"/>
      <c r="C64" s="408"/>
      <c r="D64" s="408"/>
      <c r="E64" s="408"/>
      <c r="F64" s="408"/>
      <c r="G64" s="15">
        <v>183</v>
      </c>
      <c r="H64" s="16"/>
      <c r="I64" s="66">
        <f>IF(I61&gt;I60,I61-I60,0)</f>
        <v>0</v>
      </c>
      <c r="J64" s="66">
        <f>IF(J61&gt;J60,J61-J60,0)</f>
        <v>388269</v>
      </c>
    </row>
    <row r="65" spans="1:12" s="2" customFormat="1" ht="14.25" customHeight="1">
      <c r="A65" s="385" t="s">
        <v>1238</v>
      </c>
      <c r="B65" s="385"/>
      <c r="C65" s="385"/>
      <c r="D65" s="385"/>
      <c r="E65" s="385"/>
      <c r="F65" s="385"/>
      <c r="G65" s="15">
        <v>184</v>
      </c>
      <c r="H65" s="16"/>
      <c r="I65" s="67">
        <v>20113</v>
      </c>
      <c r="J65" s="67"/>
      <c r="L65" s="2" t="s">
        <v>1209</v>
      </c>
    </row>
    <row r="66" spans="1:12" s="2" customFormat="1" ht="14.25" customHeight="1">
      <c r="A66" s="385" t="s">
        <v>2504</v>
      </c>
      <c r="B66" s="385"/>
      <c r="C66" s="385"/>
      <c r="D66" s="385"/>
      <c r="E66" s="385"/>
      <c r="F66" s="385"/>
      <c r="G66" s="15">
        <v>185</v>
      </c>
      <c r="H66" s="16" t="s">
        <v>3005</v>
      </c>
      <c r="I66" s="66">
        <f>I62-I65</f>
        <v>60588</v>
      </c>
      <c r="J66" s="66">
        <f>J62-J65</f>
        <v>-388269</v>
      </c>
      <c r="L66" s="2" t="s">
        <v>1209</v>
      </c>
    </row>
    <row r="67" spans="1:10" s="2" customFormat="1" ht="14.25" customHeight="1">
      <c r="A67" s="408" t="s">
        <v>2505</v>
      </c>
      <c r="B67" s="408"/>
      <c r="C67" s="408"/>
      <c r="D67" s="408"/>
      <c r="E67" s="408"/>
      <c r="F67" s="408"/>
      <c r="G67" s="15">
        <v>186</v>
      </c>
      <c r="H67" s="16"/>
      <c r="I67" s="66">
        <f>IF(I66&gt;0,I66,0)</f>
        <v>60588</v>
      </c>
      <c r="J67" s="66">
        <f>IF(J66&gt;0,J66,0)</f>
        <v>0</v>
      </c>
    </row>
    <row r="68" spans="1:10" s="2" customFormat="1" ht="14.25" customHeight="1">
      <c r="A68" s="412" t="s">
        <v>2506</v>
      </c>
      <c r="B68" s="412"/>
      <c r="C68" s="412"/>
      <c r="D68" s="412"/>
      <c r="E68" s="412"/>
      <c r="F68" s="412"/>
      <c r="G68" s="17">
        <v>187</v>
      </c>
      <c r="H68" s="18" t="s">
        <v>3005</v>
      </c>
      <c r="I68" s="81">
        <f>IF(I66&lt;0,-I66,0)</f>
        <v>0</v>
      </c>
      <c r="J68" s="81">
        <f>IF(J66&lt;0,-J66,0)</f>
        <v>388269</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79" sqref="I79:J8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75422440757; Vodovod i kanalizaija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75422440757; Vodovod i kanalizaija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75422440757; Vodovod i kanalizaija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75422440757; Vodovod i kanalizaija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HP</cp:lastModifiedBy>
  <cp:lastPrinted>2022-06-30T10:45:48Z</cp:lastPrinted>
  <dcterms:created xsi:type="dcterms:W3CDTF">2008-10-17T11:51:54Z</dcterms:created>
  <dcterms:modified xsi:type="dcterms:W3CDTF">2022-06-30T10:45:58Z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